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POS FIN" sheetId="4" r:id="rId4"/>
    <sheet name="SP ATT IAS" sheetId="5" r:id="rId5"/>
    <sheet name="SP PAS IAS 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'!$A$1:$D$40</definedName>
    <definedName name="_xlnm.Print_Area" localSheetId="1">'PASSIVO-PROFORMA'!$A$1:$M$105</definedName>
    <definedName name="_xlnm.Print_Area" localSheetId="4">'SP ATT IAS'!$A$1:$F$35</definedName>
    <definedName name="_xlnm.Print_Area" localSheetId="5">'SP PAS IAS '!$A$1:$F$32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<sst xmlns="http://schemas.openxmlformats.org/spreadsheetml/2006/main" count="584" uniqueCount="415">
  <si>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</si>
  <si>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</si>
  <si>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</si>
  <si>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</si>
  <si>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</si>
  <si>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</si>
  <si>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</si>
  <si>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</si>
  <si>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</si>
  <si>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</si>
  <si>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</si>
  <si>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</si>
  <si>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</si>
  <si>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</si>
  <si>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</si>
  <si>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</si>
  <si>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</si>
  <si>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</si>
  <si>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</si>
  <si>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</si>
  <si>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</si>
  <si>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</si>
  <si>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</si>
  <si>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</si>
  <si>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</si>
  <si>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</si>
  <si>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</si>
  <si>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</si>
  <si>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</si>
  <si>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</si>
  <si>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</si>
  <si>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</si>
  <si>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</si>
  <si>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</si>
  <si>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</si>
  <si>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</si>
  <si>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</si>
  <si>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</si>
  <si>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</si>
  <si>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</si>
  <si>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</si>
  <si>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</si>
  <si>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</si>
  <si>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</si>
  <si>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</si>
  <si>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</si>
  <si>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</si>
  <si>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</si>
  <si>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</si>
  <si>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</si>
  <si>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</si>
  <si>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</si>
  <si>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</si>
  <si>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</si>
  <si>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</si>
  <si>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</si>
  <si>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</si>
  <si>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</si>
  <si>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</si>
  <si>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</si>
  <si>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</si>
  <si>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</si>
  <si>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</si>
  <si>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</si>
  <si>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</si>
  <si>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</si>
  <si>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</si>
  <si>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</si>
  <si>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</si>
  <si>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</si>
  <si>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</si>
  <si>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</si>
  <si>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</si>
  <si>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</si>
  <si>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</si>
  <si>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</si>
  <si>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</si>
  <si>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</si>
  <si>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</si>
  <si>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</si>
  <si>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</si>
  <si>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</si>
  <si>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</si>
  <si>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</si>
  <si>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</si>
  <si>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</si>
  <si>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</si>
  <si>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</si>
  <si>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</si>
  <si>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</si>
  <si>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</si>
  <si>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</si>
  <si>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</si>
  <si>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</si>
  <si>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</si>
  <si>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</si>
  <si>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</si>
  <si>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</si>
  <si>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</si>
  <si>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</si>
  <si>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</si>
  <si>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</si>
  <si>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</si>
  <si>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</si>
  <si>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</si>
  <si>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</si>
  <si>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</si>
  <si>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</si>
  <si>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</si>
  <si>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</si>
  <si>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</si>
  <si>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</si>
  <si>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</si>
  <si>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</si>
  <si>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</si>
  <si>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</si>
  <si>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</si>
  <si>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</si>
  <si>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</si>
  <si>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</si>
  <si>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</si>
  <si>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</si>
  <si>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</si>
  <si>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</si>
  <si>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</si>
  <si>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</si>
  <si>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</si>
  <si>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</si>
  <si>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</si>
  <si>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</si>
  <si>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</si>
  <si>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</si>
  <si>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</si>
  <si>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</si>
  <si>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</si>
  <si>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</si>
  <si>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</si>
  <si>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</si>
  <si>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</si>
  <si>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</si>
  <si>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</si>
  <si>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</si>
  <si>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</si>
  <si>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</si>
  <si>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</si>
  <si>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</si>
  <si>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</si>
  <si>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</si>
  <si>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</si>
  <si>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</si>
  <si>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</si>
  <si>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</si>
  <si>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</si>
  <si>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</si>
  <si>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</si>
  <si>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</si>
  <si>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</si>
  <si>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</si>
  <si>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</si>
  <si>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</si>
  <si>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</si>
  <si>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</si>
  <si>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</si>
  <si>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</si>
  <si>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</si>
  <si>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</si>
  <si>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</si>
  <si>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</si>
  <si>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</si>
  <si>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</si>
  <si>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</si>
  <si>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</si>
  <si>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</si>
  <si>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</si>
  <si>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</si>
  <si>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</si>
  <si>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</si>
  <si>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</si>
  <si>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</si>
  <si>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</si>
  <si>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</si>
  <si>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</si>
  <si>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</si>
  <si>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</si>
  <si>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</si>
  <si>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</si>
  <si>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</si>
  <si>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</si>
  <si>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</si>
  <si>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</si>
  <si>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</si>
  <si>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</si>
  <si>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</si>
  <si>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</si>
  <si>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</si>
  <si>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</si>
  <si>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</si>
  <si>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</si>
  <si>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</si>
  <si>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</si>
  <si>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</si>
  <si>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</si>
  <si>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</si>
  <si>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</si>
  <si>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</si>
  <si>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</si>
  <si>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</si>
  <si>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</si>
  <si>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</si>
  <si>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</si>
  <si>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</si>
  <si>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</si>
  <si>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</si>
  <si>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</si>
  <si>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</si>
  <si>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</si>
  <si>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</si>
  <si>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</si>
  <si>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</si>
  <si>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</si>
  <si>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</si>
  <si>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</si>
  <si>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</si>
  <si>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</si>
  <si>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</si>
  <si>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</si>
  <si>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</si>
  <si>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</si>
  <si>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</si>
  <si>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</si>
  <si>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</si>
  <si>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</si>
  <si>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</si>
  <si>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</si>
  <si>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</si>
  <si>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</si>
  <si>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</si>
  <si>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</si>
  <si>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</si>
  <si>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</si>
  <si>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</si>
  <si>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</si>
  <si>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</si>
  <si>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</si>
  <si>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</si>
  <si>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</si>
  <si>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</si>
  <si>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</si>
  <si>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</si>
  <si>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</si>
  <si>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</si>
  <si>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</si>
  <si>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</si>
  <si>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</si>
  <si>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</si>
  <si>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</si>
  <si>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</si>
  <si>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</si>
  <si>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</si>
  <si>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</si>
  <si>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</si>
  <si>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</si>
  <si>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</si>
  <si>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</si>
  <si>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</si>
  <si>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</si>
  <si>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</si>
  <si>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</si>
  <si>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</si>
  <si>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</si>
  <si>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</si>
  <si>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</si>
  <si>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</si>
  <si>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</si>
  <si>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</si>
  <si>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</si>
  <si>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</si>
  <si>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</si>
  <si>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</si>
  <si>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</si>
  <si>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</si>
  <si>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</si>
  <si>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</si>
  <si>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</si>
  <si>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</si>
  <si>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</si>
  <si>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</si>
  <si>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</si>
  <si>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</si>
  <si>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</si>
  <si>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</si>
  <si>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</si>
  <si>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</si>
  <si>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</si>
  <si>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</si>
  <si>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</si>
  <si>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</si>
  <si>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</si>
  <si>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</si>
  <si>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</si>
  <si>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</si>
  <si>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</si>
  <si>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</si>
  <si>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</si>
  <si>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</si>
  <si>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</si>
  <si>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</si>
  <si>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</si>
  <si>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</si>
  <si>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</si>
  <si>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</si>
  <si>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</si>
  <si>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</si>
  <si>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</si>
  <si>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</si>
  <si>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</si>
  <si>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</si>
  <si>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</si>
  <si>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</si>
  <si>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PATRIMONIO NETTO E PASSIVITA'</t>
  </si>
  <si>
    <t>TOTALE PATRIMONIO NETTO E PASSIVITA'</t>
  </si>
  <si>
    <t>TOTALE ATTIVITA'</t>
  </si>
  <si>
    <t>di cui verso parti correlate</t>
  </si>
  <si>
    <t>Altri debiti a lungo termine</t>
  </si>
  <si>
    <t xml:space="preserve">Crediti Commerciali </t>
  </si>
  <si>
    <t>Altri crediti</t>
  </si>
  <si>
    <t>31 dicembre 2007</t>
  </si>
  <si>
    <t>31 dicembre 2008</t>
  </si>
  <si>
    <t>Ammortamento di immobili, impianti e macchinari</t>
  </si>
  <si>
    <t>Posizione finanziaria netta</t>
  </si>
  <si>
    <t>Debiti finanziari a medio/lungo termine:</t>
  </si>
  <si>
    <t>Finanziamenti bancari a medio/lungo termine</t>
  </si>
  <si>
    <t>Debiti per leasing</t>
  </si>
  <si>
    <t>Debiti verso altri finanziatori</t>
  </si>
  <si>
    <t>Strumenti Aprilia</t>
  </si>
  <si>
    <t xml:space="preserve">Totale </t>
  </si>
  <si>
    <t>Prestito obbligazionario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</si>
  <si>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</si>
  <si>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</si>
  <si>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</si>
  <si>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</si>
  <si>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</si>
  <si>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Altre attività finanziarie correnti</t>
  </si>
  <si>
    <t>Crediti finanziari verso terzi</t>
  </si>
  <si>
    <t>Crediti finanziari verso collegate</t>
  </si>
  <si>
    <t>Titoli</t>
  </si>
  <si>
    <t>Disponibilità</t>
  </si>
  <si>
    <t>Totale Posizione finanziaria netta</t>
  </si>
  <si>
    <t>Posizione finanziaria netta consolidata / (Indebitamento finanziario netto)</t>
  </si>
  <si>
    <t>Al 31 dicembre 2007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</si>
  <si>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</si>
  <si>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</si>
  <si>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</si>
  <si>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</si>
  <si>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</si>
  <si>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</si>
  <si>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</si>
  <si>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</si>
  <si>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</si>
  <si>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</si>
  <si>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Obbligazioni</t>
  </si>
  <si>
    <t xml:space="preserve">Indebitamento finanziario non corrente </t>
  </si>
  <si>
    <t>INDEBITAMENTO FINANZIARIO NETTO</t>
  </si>
  <si>
    <t>Al 31 dicembre 2008</t>
  </si>
  <si>
    <t>Attività operative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</si>
  <si>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</si>
  <si>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</si>
  <si>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</si>
  <si>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</si>
  <si>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</si>
  <si>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</si>
  <si>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</si>
  <si>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</si>
  <si>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</si>
  <si>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</si>
  <si>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</si>
  <si>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</si>
  <si>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</si>
  <si>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</si>
  <si>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</si>
  <si>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</si>
  <si>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(Aumento)/Diminuzione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</si>
  <si>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</si>
  <si>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</si>
  <si>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</si>
  <si>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</si>
  <si>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</si>
  <si>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</si>
  <si>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</si>
  <si>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</si>
  <si>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</si>
  <si>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</si>
  <si>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</si>
  <si>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</si>
  <si>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</si>
  <si>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</si>
  <si>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</si>
  <si>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</si>
  <si>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</si>
  <si>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</si>
  <si>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</si>
  <si>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</si>
  <si>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</si>
  <si>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Aumento di capitale e sovrapprezzo relativo all'esercizio delle stock option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</si>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</sst>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</numFmts>
  <fonts count="6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46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Alignment="1" applyProtection="1">
      <alignment vertical="center"/>
      <protection/>
    </xf>
    <xf numFmtId="178" fontId="7" fillId="33" borderId="21" xfId="0" applyNumberFormat="1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horizontal="center" vertical="center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>
      <alignment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vertical="center"/>
      <protection/>
    </xf>
    <xf numFmtId="37" fontId="11" fillId="33" borderId="22" xfId="0" applyNumberFormat="1" applyFont="1" applyFill="1" applyBorder="1" applyAlignment="1" applyProtection="1">
      <alignment horizontal="center" vertical="center"/>
      <protection/>
    </xf>
    <xf numFmtId="178" fontId="7" fillId="33" borderId="10" xfId="0" applyNumberFormat="1" applyFont="1" applyFill="1" applyBorder="1" applyAlignment="1">
      <alignment/>
    </xf>
    <xf numFmtId="37" fontId="11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 quotePrefix="1">
      <alignment horizontal="left" vertical="center"/>
      <protection/>
    </xf>
    <xf numFmtId="38" fontId="11" fillId="33" borderId="0" xfId="46" applyFont="1" applyFill="1" applyAlignment="1">
      <alignment vertical="center"/>
    </xf>
    <xf numFmtId="0" fontId="11" fillId="33" borderId="0" xfId="0" applyFont="1" applyFill="1" applyAlignment="1" applyProtection="1" quotePrefix="1">
      <alignment vertical="center"/>
      <protection/>
    </xf>
    <xf numFmtId="178" fontId="7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184" fontId="8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center" vertical="center"/>
    </xf>
    <xf numFmtId="0" fontId="15" fillId="33" borderId="15" xfId="0" applyFont="1" applyFill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185" fontId="7" fillId="33" borderId="18" xfId="0" applyNumberFormat="1" applyFont="1" applyFill="1" applyBorder="1" applyAlignment="1" applyProtection="1">
      <alignment horizontal="centerContinuous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49" fontId="15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37" fontId="7" fillId="33" borderId="16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37" fontId="15" fillId="33" borderId="0" xfId="0" applyNumberFormat="1" applyFont="1" applyFill="1" applyBorder="1" applyAlignment="1" applyProtection="1">
      <alignment vertical="center"/>
      <protection/>
    </xf>
    <xf numFmtId="37" fontId="15" fillId="33" borderId="0" xfId="0" applyNumberFormat="1" applyFont="1" applyFill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41" fontId="7" fillId="33" borderId="21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/>
      <protection/>
    </xf>
    <xf numFmtId="185" fontId="7" fillId="33" borderId="0" xfId="0" applyNumberFormat="1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/>
      <protection/>
    </xf>
    <xf numFmtId="178" fontId="7" fillId="33" borderId="23" xfId="0" applyNumberFormat="1" applyFont="1" applyFill="1" applyBorder="1" applyAlignment="1">
      <alignment/>
    </xf>
    <xf numFmtId="178" fontId="7" fillId="33" borderId="23" xfId="0" applyNumberFormat="1" applyFont="1" applyFill="1" applyBorder="1" applyAlignment="1">
      <alignment/>
    </xf>
    <xf numFmtId="178" fontId="7" fillId="33" borderId="23" xfId="0" applyNumberFormat="1" applyFont="1" applyFill="1" applyBorder="1" applyAlignment="1" applyProtection="1">
      <alignment horizontal="right" vertical="center"/>
      <protection/>
    </xf>
    <xf numFmtId="178" fontId="15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23" xfId="0" applyNumberFormat="1" applyFont="1" applyFill="1" applyBorder="1" applyAlignment="1" applyProtection="1">
      <alignment horizontal="right" vertical="center"/>
      <protection/>
    </xf>
    <xf numFmtId="3" fontId="7" fillId="33" borderId="23" xfId="0" applyNumberFormat="1" applyFont="1" applyFill="1" applyBorder="1" applyAlignment="1" applyProtection="1">
      <alignment horizontal="right" vertical="center"/>
      <protection/>
    </xf>
    <xf numFmtId="178" fontId="15" fillId="33" borderId="21" xfId="0" applyNumberFormat="1" applyFont="1" applyFill="1" applyBorder="1" applyAlignment="1" applyProtection="1">
      <alignment horizontal="right" vertical="center"/>
      <protection/>
    </xf>
    <xf numFmtId="3" fontId="9" fillId="33" borderId="19" xfId="0" applyNumberFormat="1" applyFont="1" applyFill="1" applyBorder="1" applyAlignment="1" applyProtection="1">
      <alignment horizontal="right" vertical="center"/>
      <protection/>
    </xf>
    <xf numFmtId="3" fontId="15" fillId="33" borderId="19" xfId="0" applyNumberFormat="1" applyFont="1" applyFill="1" applyBorder="1" applyAlignment="1" applyProtection="1">
      <alignment horizontal="right" vertical="center"/>
      <protection/>
    </xf>
    <xf numFmtId="3" fontId="9" fillId="33" borderId="21" xfId="0" applyNumberFormat="1" applyFont="1" applyFill="1" applyBorder="1" applyAlignment="1" applyProtection="1">
      <alignment horizontal="right" vertical="center"/>
      <protection/>
    </xf>
    <xf numFmtId="3" fontId="15" fillId="33" borderId="21" xfId="0" applyNumberFormat="1" applyFont="1" applyFill="1" applyBorder="1" applyAlignment="1" applyProtection="1">
      <alignment horizontal="right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38" fontId="7" fillId="33" borderId="0" xfId="46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178" fontId="15" fillId="33" borderId="13" xfId="0" applyNumberFormat="1" applyFont="1" applyFill="1" applyBorder="1" applyAlignment="1" applyProtection="1">
      <alignment horizontal="right" vertical="center"/>
      <protection/>
    </xf>
    <xf numFmtId="178" fontId="9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7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37" fontId="7" fillId="33" borderId="22" xfId="0" applyNumberFormat="1" applyFont="1" applyFill="1" applyBorder="1" applyAlignment="1" applyProtection="1">
      <alignment horizontal="center"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 quotePrefix="1">
      <alignment horizontal="left"/>
      <protection/>
    </xf>
    <xf numFmtId="41" fontId="7" fillId="33" borderId="21" xfId="46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178" fontId="15" fillId="33" borderId="21" xfId="0" applyNumberFormat="1" applyFont="1" applyFill="1" applyBorder="1" applyAlignment="1">
      <alignment/>
    </xf>
    <xf numFmtId="0" fontId="25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37" fontId="15" fillId="33" borderId="13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1" fontId="15" fillId="33" borderId="19" xfId="0" applyNumberFormat="1" applyFont="1" applyFill="1" applyBorder="1" applyAlignment="1" applyProtection="1">
      <alignment horizontal="center" vertical="center"/>
      <protection/>
    </xf>
    <xf numFmtId="41" fontId="7" fillId="33" borderId="0" xfId="47" applyFont="1" applyFill="1" applyBorder="1" applyAlignment="1" applyProtection="1">
      <alignment horizontal="right" vertical="center"/>
      <protection/>
    </xf>
    <xf numFmtId="184" fontId="7" fillId="33" borderId="0" xfId="0" applyNumberFormat="1" applyFont="1" applyFill="1" applyBorder="1" applyAlignment="1" applyProtection="1">
      <alignment horizontal="right" vertical="center"/>
      <protection/>
    </xf>
    <xf numFmtId="184" fontId="7" fillId="33" borderId="18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38" fontId="7" fillId="33" borderId="21" xfId="46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 quotePrefix="1">
      <alignment horizontal="right" vertical="center"/>
      <protection/>
    </xf>
    <xf numFmtId="38" fontId="7" fillId="33" borderId="19" xfId="46" applyFont="1" applyFill="1" applyBorder="1" applyAlignment="1" applyProtection="1">
      <alignment horizontal="right" vertical="center"/>
      <protection/>
    </xf>
    <xf numFmtId="38" fontId="11" fillId="33" borderId="21" xfId="46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 quotePrefix="1">
      <alignment horizontal="right" vertical="center"/>
      <protection/>
    </xf>
    <xf numFmtId="178" fontId="7" fillId="33" borderId="0" xfId="0" applyNumberFormat="1" applyFont="1" applyFill="1" applyAlignment="1" applyProtection="1">
      <alignment horizontal="right" vertical="center"/>
      <protection/>
    </xf>
    <xf numFmtId="38" fontId="15" fillId="33" borderId="19" xfId="46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9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7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7" fillId="33" borderId="16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6" fillId="0" borderId="0" xfId="49" applyNumberFormat="1" applyFont="1" applyFill="1">
      <alignment/>
      <protection/>
    </xf>
    <xf numFmtId="178" fontId="6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78" fontId="4" fillId="0" borderId="13" xfId="49" applyNumberFormat="1" applyFont="1" applyFill="1" applyBorder="1" applyAlignment="1" applyProtection="1">
      <alignment horizontal="left" vertical="center"/>
      <protection/>
    </xf>
    <xf numFmtId="191" fontId="26" fillId="0" borderId="0" xfId="49" applyNumberFormat="1" applyFont="1" applyFill="1">
      <alignment/>
      <protection/>
    </xf>
    <xf numFmtId="178" fontId="26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6" fillId="0" borderId="16" xfId="49" applyNumberFormat="1" applyFont="1" applyFill="1" applyBorder="1">
      <alignment/>
      <protection/>
    </xf>
    <xf numFmtId="178" fontId="0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5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6" fillId="0" borderId="13" xfId="49" applyNumberFormat="1" applyFont="1" applyFill="1" applyBorder="1">
      <alignment/>
      <protection/>
    </xf>
    <xf numFmtId="178" fontId="6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78" fontId="1" fillId="0" borderId="13" xfId="49" applyNumberFormat="1" applyFont="1" applyFill="1" applyBorder="1" applyAlignment="1">
      <alignment horizontal="left" vertical="center"/>
      <protection/>
    </xf>
    <xf numFmtId="191" fontId="6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5" xfId="49" applyNumberFormat="1" applyFont="1" applyBorder="1">
      <alignment/>
      <protection/>
    </xf>
    <xf numFmtId="178" fontId="1" fillId="0" borderId="25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5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9" fillId="0" borderId="0" xfId="49" applyNumberFormat="1" applyFont="1" applyFill="1" applyAlignment="1" applyProtection="1">
      <alignment horizontal="right" vertical="center"/>
      <protection/>
    </xf>
    <xf numFmtId="178" fontId="19" fillId="0" borderId="0" xfId="49" applyNumberFormat="1" applyFont="1" applyFill="1" applyAlignment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2" fontId="1" fillId="0" borderId="0" xfId="49" applyNumberFormat="1" applyFont="1" applyFill="1">
      <alignment/>
      <protection/>
    </xf>
    <xf numFmtId="192" fontId="1" fillId="0" borderId="0" xfId="49" applyNumberFormat="1" applyFont="1" applyFill="1">
      <alignment/>
      <protection/>
    </xf>
    <xf numFmtId="1" fontId="0" fillId="0" borderId="18" xfId="49" applyNumberFormat="1" applyFont="1" applyFill="1" applyBorder="1" applyAlignment="1" quotePrefix="1">
      <alignment horizontal="right" wrapText="1"/>
      <protection/>
    </xf>
    <xf numFmtId="178" fontId="19" fillId="0" borderId="0" xfId="49" applyNumberFormat="1" applyFont="1" applyFill="1" applyAlignment="1" applyProtection="1">
      <alignment vertical="center"/>
      <protection/>
    </xf>
    <xf numFmtId="178" fontId="19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lef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178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178" fontId="1" fillId="0" borderId="26" xfId="49" applyNumberFormat="1" applyFont="1" applyFill="1" applyBorder="1">
      <alignment/>
      <protection/>
    </xf>
    <xf numFmtId="0" fontId="21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178" fontId="44" fillId="0" borderId="0" xfId="0" applyNumberFormat="1" applyFont="1" applyAlignment="1">
      <alignment horizontal="right"/>
    </xf>
    <xf numFmtId="178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178" fontId="44" fillId="0" borderId="0" xfId="0" applyNumberFormat="1" applyFont="1" applyFill="1" applyAlignment="1">
      <alignment horizontal="right"/>
    </xf>
    <xf numFmtId="0" fontId="46" fillId="0" borderId="18" xfId="0" applyFont="1" applyBorder="1" applyAlignment="1">
      <alignment/>
    </xf>
    <xf numFmtId="178" fontId="44" fillId="0" borderId="18" xfId="0" applyNumberFormat="1" applyFont="1" applyBorder="1" applyAlignment="1">
      <alignment horizontal="right"/>
    </xf>
    <xf numFmtId="0" fontId="47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8" t="s">
        <v>256</v>
      </c>
      <c r="B1" s="388"/>
      <c r="C1" s="388"/>
      <c r="D1" s="388"/>
      <c r="E1" s="388"/>
      <c r="F1" s="388"/>
      <c r="G1" s="388"/>
      <c r="H1" s="388"/>
      <c r="I1" s="388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7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9" t="s">
        <v>138</v>
      </c>
      <c r="B4" s="390"/>
      <c r="C4" s="390"/>
      <c r="D4" s="390"/>
      <c r="E4" s="390"/>
      <c r="F4" s="390"/>
      <c r="G4" s="391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9" t="s">
        <v>138</v>
      </c>
      <c r="B37" s="390"/>
      <c r="C37" s="390"/>
      <c r="D37" s="390"/>
      <c r="E37" s="390"/>
      <c r="F37" s="390"/>
      <c r="G37" s="391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2" customWidth="1"/>
    <col min="4" max="4" width="15.8515625" style="362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0" t="s">
        <v>329</v>
      </c>
      <c r="B1" s="350"/>
      <c r="C1" s="351"/>
      <c r="D1" s="351"/>
      <c r="E1" s="352"/>
    </row>
    <row r="2" spans="1:5" s="318" customFormat="1" ht="12.75">
      <c r="A2" s="327"/>
      <c r="B2" s="327"/>
      <c r="C2" s="328" t="s">
        <v>318</v>
      </c>
      <c r="D2" s="328" t="s">
        <v>318</v>
      </c>
      <c r="E2" s="329"/>
    </row>
    <row r="3" spans="1:6" ht="15.75" customHeight="1">
      <c r="A3" s="330" t="s">
        <v>317</v>
      </c>
      <c r="B3" s="330"/>
      <c r="C3" s="331" t="s">
        <v>327</v>
      </c>
      <c r="D3" s="331" t="s">
        <v>326</v>
      </c>
      <c r="E3" s="332" t="s">
        <v>286</v>
      </c>
      <c r="F3" s="353"/>
    </row>
    <row r="4" spans="1:6" ht="9.75" customHeight="1">
      <c r="A4" s="354"/>
      <c r="B4" s="354"/>
      <c r="C4" s="355"/>
      <c r="D4" s="355"/>
      <c r="E4" s="356"/>
      <c r="F4" s="353"/>
    </row>
    <row r="5" spans="1:4" ht="12.75">
      <c r="A5" s="359" t="s">
        <v>330</v>
      </c>
      <c r="B5" s="359"/>
      <c r="C5" s="333"/>
      <c r="D5" s="333"/>
    </row>
    <row r="6" spans="1:5" ht="12.75">
      <c r="A6" s="359"/>
      <c r="B6" s="359" t="s">
        <v>331</v>
      </c>
      <c r="C6" s="333">
        <v>-117056</v>
      </c>
      <c r="D6" s="333">
        <v>-147912</v>
      </c>
      <c r="E6" s="333">
        <f>+C6-D6</f>
        <v>30856</v>
      </c>
    </row>
    <row r="7" spans="1:5" ht="12.75">
      <c r="A7" s="359"/>
      <c r="B7" s="359" t="s">
        <v>332</v>
      </c>
      <c r="C7" s="333">
        <v>-9019</v>
      </c>
      <c r="D7" s="333">
        <v>-9746</v>
      </c>
      <c r="E7" s="333">
        <f>+C7-D7</f>
        <v>727</v>
      </c>
    </row>
    <row r="8" spans="1:5" ht="12.75">
      <c r="A8" s="359"/>
      <c r="B8" s="359" t="s">
        <v>333</v>
      </c>
      <c r="C8" s="333">
        <v>-8842</v>
      </c>
      <c r="D8" s="333">
        <f>-19883+8474</f>
        <v>-11409</v>
      </c>
      <c r="E8" s="333">
        <f>+C8-D8</f>
        <v>2567</v>
      </c>
    </row>
    <row r="9" spans="1:5" ht="12.75">
      <c r="A9" s="359"/>
      <c r="B9" s="359" t="s">
        <v>334</v>
      </c>
      <c r="C9" s="333">
        <v>-8999</v>
      </c>
      <c r="D9" s="333">
        <v>-8474</v>
      </c>
      <c r="E9" s="333">
        <f>+C9-D9</f>
        <v>-525</v>
      </c>
    </row>
    <row r="10" spans="1:5" ht="12.75">
      <c r="A10" s="359"/>
      <c r="B10" s="381" t="s">
        <v>335</v>
      </c>
      <c r="C10" s="382">
        <f>SUM(C6:C9)</f>
        <v>-143916</v>
      </c>
      <c r="D10" s="382">
        <f>SUM(D6:D9)</f>
        <v>-177541</v>
      </c>
      <c r="E10" s="382">
        <f>SUM(E6:E9)</f>
        <v>33625</v>
      </c>
    </row>
    <row r="11" spans="1:4" ht="12.75">
      <c r="A11" s="359"/>
      <c r="B11" s="359"/>
      <c r="C11" s="333"/>
      <c r="D11" s="333"/>
    </row>
    <row r="12" spans="1:5" ht="12.75">
      <c r="A12" s="359" t="s">
        <v>336</v>
      </c>
      <c r="B12" s="359"/>
      <c r="C12" s="333">
        <v>-120873</v>
      </c>
      <c r="D12" s="333">
        <v>-145380</v>
      </c>
      <c r="E12" s="333">
        <f>+C12-D12</f>
        <v>24507</v>
      </c>
    </row>
    <row r="13" spans="1:4" ht="12.75">
      <c r="A13" s="359"/>
      <c r="B13" s="359"/>
      <c r="C13" s="333"/>
      <c r="D13" s="333"/>
    </row>
    <row r="14" spans="1:4" ht="12.75">
      <c r="A14" s="359" t="s">
        <v>337</v>
      </c>
      <c r="B14" s="359"/>
      <c r="C14" s="333"/>
      <c r="D14" s="333"/>
    </row>
    <row r="15" spans="1:5" ht="12.75">
      <c r="A15" s="359"/>
      <c r="B15" s="359" t="s">
        <v>338</v>
      </c>
      <c r="C15" s="333">
        <v>-14009</v>
      </c>
      <c r="D15" s="333">
        <v>-6472</v>
      </c>
      <c r="E15" s="333">
        <f aca="true" t="shared" si="0" ref="E15:E20">+C15-D15</f>
        <v>-7537</v>
      </c>
    </row>
    <row r="16" spans="1:5" ht="12.75">
      <c r="A16" s="359"/>
      <c r="B16" s="359" t="s">
        <v>339</v>
      </c>
      <c r="C16" s="333">
        <v>-52369</v>
      </c>
      <c r="D16" s="333">
        <v>-12601</v>
      </c>
      <c r="E16" s="333">
        <f t="shared" si="0"/>
        <v>-39768</v>
      </c>
    </row>
    <row r="17" spans="1:5" ht="12.75">
      <c r="A17" s="359"/>
      <c r="B17" s="359" t="s">
        <v>340</v>
      </c>
      <c r="C17" s="333">
        <v>-13020</v>
      </c>
      <c r="D17" s="333">
        <v>-9332</v>
      </c>
      <c r="E17" s="333">
        <f t="shared" si="0"/>
        <v>-3688</v>
      </c>
    </row>
    <row r="18" spans="1:5" ht="12.75">
      <c r="A18" s="359"/>
      <c r="B18" s="359" t="s">
        <v>341</v>
      </c>
      <c r="C18" s="333">
        <v>-57734</v>
      </c>
      <c r="D18" s="333">
        <f>-34824+6322</f>
        <v>-28502</v>
      </c>
      <c r="E18" s="333">
        <f t="shared" si="0"/>
        <v>-29232</v>
      </c>
    </row>
    <row r="19" spans="1:5" ht="12.75">
      <c r="A19" s="359"/>
      <c r="B19" s="359" t="s">
        <v>332</v>
      </c>
      <c r="C19" s="333">
        <v>-727</v>
      </c>
      <c r="D19" s="333">
        <v>-695</v>
      </c>
      <c r="E19" s="333">
        <f t="shared" si="0"/>
        <v>-32</v>
      </c>
    </row>
    <row r="20" spans="1:5" ht="12.75">
      <c r="A20" s="359"/>
      <c r="B20" s="359" t="s">
        <v>333</v>
      </c>
      <c r="C20" s="333">
        <v>-2569</v>
      </c>
      <c r="D20" s="333">
        <v>-2690</v>
      </c>
      <c r="E20" s="333">
        <f t="shared" si="0"/>
        <v>121</v>
      </c>
    </row>
    <row r="21" spans="1:5" ht="12.75">
      <c r="A21" s="359"/>
      <c r="B21" s="359" t="s">
        <v>334</v>
      </c>
      <c r="C21" s="333">
        <v>-263</v>
      </c>
      <c r="D21" s="333">
        <v>-6322</v>
      </c>
      <c r="E21" s="333">
        <f>+C21-D21</f>
        <v>6059</v>
      </c>
    </row>
    <row r="22" spans="1:5" s="382" customFormat="1" ht="12.75">
      <c r="A22" s="381"/>
      <c r="B22" s="381" t="s">
        <v>335</v>
      </c>
      <c r="C22" s="382">
        <f>SUM(C15:C21)</f>
        <v>-140691</v>
      </c>
      <c r="D22" s="382">
        <f>SUM(D15:D21)</f>
        <v>-66614</v>
      </c>
      <c r="E22" s="382">
        <f>SUM(E15:E21)</f>
        <v>-74077</v>
      </c>
    </row>
    <row r="23" spans="1:4" ht="12.75">
      <c r="A23" s="359"/>
      <c r="B23" s="359"/>
      <c r="C23" s="333"/>
      <c r="D23" s="333"/>
    </row>
    <row r="24" spans="1:4" ht="12.75">
      <c r="A24" s="359" t="s">
        <v>342</v>
      </c>
      <c r="B24" s="359"/>
      <c r="C24" s="333"/>
      <c r="D24" s="333"/>
    </row>
    <row r="25" spans="1:5" ht="12.75">
      <c r="A25" s="359"/>
      <c r="B25" s="359" t="s">
        <v>343</v>
      </c>
      <c r="C25" s="333">
        <v>4137</v>
      </c>
      <c r="D25" s="333">
        <v>435</v>
      </c>
      <c r="E25" s="333">
        <f>+C25-D25</f>
        <v>3702</v>
      </c>
    </row>
    <row r="26" spans="1:5" ht="12.75">
      <c r="A26" s="359"/>
      <c r="B26" s="359" t="s">
        <v>344</v>
      </c>
      <c r="C26" s="333">
        <v>45</v>
      </c>
      <c r="D26" s="333">
        <v>58</v>
      </c>
      <c r="E26" s="333">
        <f>+C26-D26</f>
        <v>-13</v>
      </c>
    </row>
    <row r="27" spans="1:5" ht="12.75">
      <c r="A27" s="359"/>
      <c r="B27" s="359" t="s">
        <v>345</v>
      </c>
      <c r="C27" s="333">
        <v>1605</v>
      </c>
      <c r="D27" s="333">
        <v>17925</v>
      </c>
      <c r="E27" s="333">
        <f>+C27-D27</f>
        <v>-16320</v>
      </c>
    </row>
    <row r="28" spans="1:5" ht="12.75">
      <c r="A28" s="359"/>
      <c r="B28" s="381" t="s">
        <v>335</v>
      </c>
      <c r="C28" s="382">
        <f>SUM(C24:C27)</f>
        <v>5787</v>
      </c>
      <c r="D28" s="382">
        <f>SUM(D24:D27)</f>
        <v>18418</v>
      </c>
      <c r="E28" s="382">
        <f>SUM(E24:E27)</f>
        <v>-12631</v>
      </c>
    </row>
    <row r="29" spans="1:4" ht="12.75">
      <c r="A29" s="359"/>
      <c r="B29" s="359"/>
      <c r="C29" s="333"/>
      <c r="D29" s="333"/>
    </row>
    <row r="30" spans="1:5" ht="12.75">
      <c r="A30" s="359" t="s">
        <v>346</v>
      </c>
      <c r="B30" s="359"/>
      <c r="C30" s="333">
        <v>39985</v>
      </c>
      <c r="D30" s="333">
        <v>101334</v>
      </c>
      <c r="E30" s="333">
        <f>+C30-D30</f>
        <v>-61349</v>
      </c>
    </row>
    <row r="31" spans="1:4" ht="12.75">
      <c r="A31" s="359"/>
      <c r="B31" s="359"/>
      <c r="C31" s="333"/>
      <c r="D31" s="333"/>
    </row>
    <row r="32" spans="1:5" ht="12.75">
      <c r="A32" s="360" t="s">
        <v>347</v>
      </c>
      <c r="B32" s="360"/>
      <c r="C32" s="360">
        <f>+C10+C12+C22+C30+C28</f>
        <v>-359708</v>
      </c>
      <c r="D32" s="360">
        <f>+D10+D12+D22+D30+D28</f>
        <v>-269783</v>
      </c>
      <c r="E32" s="360">
        <f>+E10+E12+E22+E30+E28</f>
        <v>-89925</v>
      </c>
    </row>
    <row r="33" spans="3:4" ht="11.25" customHeight="1">
      <c r="C33" s="333"/>
      <c r="D33" s="333"/>
    </row>
    <row r="34" spans="3:4" ht="12.75">
      <c r="C34" s="333"/>
      <c r="D34" s="333"/>
    </row>
    <row r="35" spans="2:5" ht="12.75">
      <c r="B35" s="334" t="s">
        <v>348</v>
      </c>
      <c r="C35"/>
      <c r="D35"/>
      <c r="E35"/>
    </row>
    <row r="36" spans="2:5" ht="25.5">
      <c r="B36" s="383" t="s">
        <v>317</v>
      </c>
      <c r="C36" s="384" t="s">
        <v>363</v>
      </c>
      <c r="D36" s="384" t="s">
        <v>349</v>
      </c>
      <c r="E36" s="365" t="s">
        <v>286</v>
      </c>
    </row>
    <row r="37" spans="2:5" ht="12.75">
      <c r="B37"/>
      <c r="C37"/>
      <c r="D37"/>
      <c r="E37"/>
    </row>
    <row r="38" spans="2:5" ht="12.75">
      <c r="B38" s="9" t="s">
        <v>350</v>
      </c>
      <c r="C38" s="345">
        <f>+C30</f>
        <v>39985</v>
      </c>
      <c r="D38" s="345">
        <f>+D30</f>
        <v>101334</v>
      </c>
      <c r="E38" s="345">
        <f>+C38-D38</f>
        <v>-61349</v>
      </c>
    </row>
    <row r="39" spans="2:4" ht="12.75">
      <c r="B39"/>
      <c r="C39" s="333"/>
      <c r="D39" s="333"/>
    </row>
    <row r="40" spans="2:5" ht="12.75">
      <c r="B40" t="s">
        <v>351</v>
      </c>
      <c r="C40" s="333">
        <f aca="true" t="shared" si="1" ref="C40:D42">+C25</f>
        <v>4137</v>
      </c>
      <c r="D40" s="333">
        <f t="shared" si="1"/>
        <v>435</v>
      </c>
      <c r="E40" s="333">
        <f>+C40-D40</f>
        <v>3702</v>
      </c>
    </row>
    <row r="41" spans="2:5" ht="12.75">
      <c r="B41" t="s">
        <v>352</v>
      </c>
      <c r="C41" s="333">
        <f t="shared" si="1"/>
        <v>45</v>
      </c>
      <c r="D41" s="333">
        <f t="shared" si="1"/>
        <v>58</v>
      </c>
      <c r="E41" s="333">
        <f>+C41-D41</f>
        <v>-13</v>
      </c>
    </row>
    <row r="42" spans="2:5" ht="12.75">
      <c r="B42" t="s">
        <v>345</v>
      </c>
      <c r="C42" s="333">
        <f t="shared" si="1"/>
        <v>1605</v>
      </c>
      <c r="D42" s="333">
        <f t="shared" si="1"/>
        <v>17925</v>
      </c>
      <c r="E42" s="333">
        <f>+C42-D42</f>
        <v>-16320</v>
      </c>
    </row>
    <row r="43" spans="2:5" ht="12.75">
      <c r="B43" s="9" t="s">
        <v>353</v>
      </c>
      <c r="C43" s="345">
        <f>SUM(C40:C42)</f>
        <v>5787</v>
      </c>
      <c r="D43" s="345">
        <f>SUM(D40:D42)</f>
        <v>18418</v>
      </c>
      <c r="E43" s="345">
        <f>SUM(E40:E42)</f>
        <v>-12631</v>
      </c>
    </row>
    <row r="44" spans="2:4" ht="12.75">
      <c r="B44"/>
      <c r="C44" s="333"/>
      <c r="D44" s="333"/>
    </row>
    <row r="45" spans="2:5" ht="12.75">
      <c r="B45" t="s">
        <v>354</v>
      </c>
      <c r="C45" s="333">
        <f>+C15+C16</f>
        <v>-66378</v>
      </c>
      <c r="D45" s="333">
        <f>+D15+D16</f>
        <v>-19073</v>
      </c>
      <c r="E45" s="333">
        <f aca="true" t="shared" si="2" ref="E45:E50">+C45-D45</f>
        <v>-47305</v>
      </c>
    </row>
    <row r="46" spans="2:5" ht="12.75">
      <c r="B46" t="s">
        <v>355</v>
      </c>
      <c r="C46" s="333">
        <f>+C18</f>
        <v>-57734</v>
      </c>
      <c r="D46" s="333">
        <f>+D18</f>
        <v>-28502</v>
      </c>
      <c r="E46" s="333">
        <f t="shared" si="2"/>
        <v>-29232</v>
      </c>
    </row>
    <row r="47" spans="2:5" ht="12.75">
      <c r="B47" t="s">
        <v>340</v>
      </c>
      <c r="C47" s="333">
        <f>+C17</f>
        <v>-13020</v>
      </c>
      <c r="D47" s="333">
        <f>+D17</f>
        <v>-9332</v>
      </c>
      <c r="E47" s="333">
        <f t="shared" si="2"/>
        <v>-3688</v>
      </c>
    </row>
    <row r="48" spans="2:5" ht="12.75">
      <c r="B48" t="s">
        <v>332</v>
      </c>
      <c r="C48" s="333">
        <f aca="true" t="shared" si="3" ref="C48:D50">+C19</f>
        <v>-727</v>
      </c>
      <c r="D48" s="333">
        <f t="shared" si="3"/>
        <v>-695</v>
      </c>
      <c r="E48" s="333">
        <f t="shared" si="2"/>
        <v>-32</v>
      </c>
    </row>
    <row r="49" spans="2:5" ht="12.75">
      <c r="B49" t="s">
        <v>356</v>
      </c>
      <c r="C49" s="333">
        <f t="shared" si="3"/>
        <v>-2569</v>
      </c>
      <c r="D49" s="333">
        <f t="shared" si="3"/>
        <v>-2690</v>
      </c>
      <c r="E49" s="333">
        <f t="shared" si="2"/>
        <v>121</v>
      </c>
    </row>
    <row r="50" spans="2:5" ht="12.75">
      <c r="B50" t="s">
        <v>334</v>
      </c>
      <c r="C50" s="333">
        <f t="shared" si="3"/>
        <v>-263</v>
      </c>
      <c r="D50" s="333">
        <f t="shared" si="3"/>
        <v>-6322</v>
      </c>
      <c r="E50" s="333">
        <f t="shared" si="2"/>
        <v>6059</v>
      </c>
    </row>
    <row r="51" spans="2:5" ht="12.75">
      <c r="B51" s="9" t="s">
        <v>357</v>
      </c>
      <c r="C51" s="345">
        <f>SUM(C45:C50)</f>
        <v>-140691</v>
      </c>
      <c r="D51" s="345">
        <f>SUM(D45:D50)</f>
        <v>-66614</v>
      </c>
      <c r="E51" s="345">
        <f>SUM(E45:E50)</f>
        <v>-74077</v>
      </c>
    </row>
    <row r="52" spans="2:4" ht="12.75">
      <c r="B52"/>
      <c r="C52" s="333"/>
      <c r="D52" s="333"/>
    </row>
    <row r="53" spans="2:5" ht="12.75">
      <c r="B53" s="9" t="s">
        <v>358</v>
      </c>
      <c r="C53" s="345">
        <f>+C51+C43+C38</f>
        <v>-94919</v>
      </c>
      <c r="D53" s="345">
        <f>+D51+D43+D38</f>
        <v>53138</v>
      </c>
      <c r="E53" s="345">
        <f>+E51+E43+E38</f>
        <v>-148057</v>
      </c>
    </row>
    <row r="54" spans="2:4" ht="12.75">
      <c r="B54"/>
      <c r="C54" s="333"/>
      <c r="D54" s="333"/>
    </row>
    <row r="55" spans="2:5" ht="12.75">
      <c r="B55" t="s">
        <v>359</v>
      </c>
      <c r="C55" s="333">
        <f>+C6</f>
        <v>-117056</v>
      </c>
      <c r="D55" s="333">
        <f>+D6</f>
        <v>-147912</v>
      </c>
      <c r="E55" s="333">
        <f>+C55-D55</f>
        <v>30856</v>
      </c>
    </row>
    <row r="56" spans="2:5" ht="12.75">
      <c r="B56" t="s">
        <v>360</v>
      </c>
      <c r="C56" s="333">
        <f>+C12</f>
        <v>-120873</v>
      </c>
      <c r="D56" s="333">
        <f>+D12</f>
        <v>-145380</v>
      </c>
      <c r="E56" s="333">
        <f>+C56-D56</f>
        <v>24507</v>
      </c>
    </row>
    <row r="57" spans="2:5" ht="12.75">
      <c r="B57" t="s">
        <v>332</v>
      </c>
      <c r="C57" s="333">
        <f aca="true" t="shared" si="4" ref="C57:D59">+C7</f>
        <v>-9019</v>
      </c>
      <c r="D57" s="333">
        <f t="shared" si="4"/>
        <v>-9746</v>
      </c>
      <c r="E57" s="333">
        <f>+C57-D57</f>
        <v>727</v>
      </c>
    </row>
    <row r="58" spans="2:5" ht="12.75">
      <c r="B58" t="s">
        <v>333</v>
      </c>
      <c r="C58" s="333">
        <f t="shared" si="4"/>
        <v>-8842</v>
      </c>
      <c r="D58" s="333">
        <f t="shared" si="4"/>
        <v>-11409</v>
      </c>
      <c r="E58" s="333">
        <f>+C58-D58</f>
        <v>2567</v>
      </c>
    </row>
    <row r="59" spans="2:5" ht="12.75">
      <c r="B59" t="s">
        <v>334</v>
      </c>
      <c r="C59" s="333">
        <f t="shared" si="4"/>
        <v>-8999</v>
      </c>
      <c r="D59" s="333">
        <f t="shared" si="4"/>
        <v>-8474</v>
      </c>
      <c r="E59" s="333">
        <f>+C59-D59</f>
        <v>-525</v>
      </c>
    </row>
    <row r="60" spans="2:4" ht="12.75">
      <c r="B60"/>
      <c r="C60" s="333"/>
      <c r="D60" s="333"/>
    </row>
    <row r="61" spans="2:5" ht="12.75">
      <c r="B61" s="9" t="s">
        <v>361</v>
      </c>
      <c r="C61" s="345">
        <f>SUM(C55:C60)</f>
        <v>-264789</v>
      </c>
      <c r="D61" s="345">
        <f>SUM(D55:D60)</f>
        <v>-322921</v>
      </c>
      <c r="E61" s="345">
        <f>SUM(E55:E60)</f>
        <v>58132</v>
      </c>
    </row>
    <row r="62" spans="2:5" ht="13.5" thickBot="1">
      <c r="B62"/>
      <c r="C62" s="385"/>
      <c r="D62" s="385"/>
      <c r="E62" s="385"/>
    </row>
    <row r="63" spans="2:5" ht="13.5" thickBot="1">
      <c r="B63" s="386" t="s">
        <v>362</v>
      </c>
      <c r="C63" s="387">
        <f>+C61+C53</f>
        <v>-359708</v>
      </c>
      <c r="D63" s="387">
        <f>+D61+D53</f>
        <v>-269783</v>
      </c>
      <c r="E63" s="387">
        <f>+E61+E53</f>
        <v>-89925</v>
      </c>
    </row>
    <row r="64" spans="2:5" ht="12.75">
      <c r="B64"/>
      <c r="C64"/>
      <c r="D64"/>
      <c r="E64"/>
    </row>
    <row r="65" spans="3:4" ht="12.75">
      <c r="C65" s="333"/>
      <c r="D65" s="333"/>
    </row>
    <row r="66" spans="3:4" ht="12.75">
      <c r="C66" s="333"/>
      <c r="D66" s="333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5" ht="12.75">
      <c r="C130" s="333"/>
      <c r="D130" s="333"/>
      <c r="E130" s="333" t="e">
        <f>+E128+E125+E92+#REF!+E82+#REF!</f>
        <v>#REF!</v>
      </c>
    </row>
    <row r="131" spans="3:4" ht="12.75">
      <c r="C131" s="333"/>
      <c r="D131" s="333"/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36.7109375" style="333" customWidth="1"/>
    <col min="2" max="3" width="17.8515625" style="362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0" t="s">
        <v>261</v>
      </c>
      <c r="B1" s="351"/>
      <c r="C1" s="351"/>
      <c r="D1" s="352"/>
    </row>
    <row r="2" spans="1:4" s="318" customFormat="1" ht="12.75">
      <c r="A2" s="327"/>
      <c r="B2" s="328" t="s">
        <v>318</v>
      </c>
      <c r="C2" s="328" t="s">
        <v>318</v>
      </c>
      <c r="D2" s="329"/>
    </row>
    <row r="3" spans="1:5" ht="15.75" customHeight="1">
      <c r="A3" s="330" t="s">
        <v>317</v>
      </c>
      <c r="B3" s="331" t="s">
        <v>327</v>
      </c>
      <c r="C3" s="331" t="s">
        <v>326</v>
      </c>
      <c r="D3" s="332" t="s">
        <v>286</v>
      </c>
      <c r="E3" s="353"/>
    </row>
    <row r="4" spans="1:5" ht="9.75" customHeight="1">
      <c r="A4" s="354"/>
      <c r="B4" s="355"/>
      <c r="C4" s="355"/>
      <c r="D4" s="356"/>
      <c r="E4" s="353"/>
    </row>
    <row r="5" spans="1:5" ht="12.75">
      <c r="A5" s="334" t="s">
        <v>20</v>
      </c>
      <c r="B5" s="357"/>
      <c r="C5" s="357"/>
      <c r="D5" s="358"/>
      <c r="E5" s="353"/>
    </row>
    <row r="6" spans="1:5" ht="12.75">
      <c r="A6" s="334"/>
      <c r="B6" s="357"/>
      <c r="C6" s="357"/>
      <c r="D6" s="358"/>
      <c r="E6" s="353"/>
    </row>
    <row r="7" spans="1:5" ht="12.75">
      <c r="A7" s="334" t="s">
        <v>301</v>
      </c>
      <c r="B7" s="357"/>
      <c r="C7" s="357"/>
      <c r="D7" s="358"/>
      <c r="E7" s="353"/>
    </row>
    <row r="8" spans="1:4" ht="12.75">
      <c r="A8" s="359" t="s">
        <v>262</v>
      </c>
      <c r="B8" s="333">
        <v>648234</v>
      </c>
      <c r="C8" s="333">
        <v>637535</v>
      </c>
      <c r="D8" s="333">
        <f aca="true" t="shared" si="0" ref="D8:D19">+B8-C8</f>
        <v>10699</v>
      </c>
    </row>
    <row r="9" spans="1:4" ht="12.75">
      <c r="A9" s="359" t="s">
        <v>297</v>
      </c>
      <c r="B9" s="333">
        <v>250354</v>
      </c>
      <c r="C9" s="333">
        <v>248595</v>
      </c>
      <c r="D9" s="333">
        <f t="shared" si="0"/>
        <v>1759</v>
      </c>
    </row>
    <row r="10" spans="1:4" ht="12.75">
      <c r="A10" s="359" t="s">
        <v>263</v>
      </c>
      <c r="B10" s="333"/>
      <c r="C10" s="333"/>
      <c r="D10" s="333">
        <f t="shared" si="0"/>
        <v>0</v>
      </c>
    </row>
    <row r="11" spans="1:4" ht="12.75">
      <c r="A11" s="359" t="s">
        <v>264</v>
      </c>
      <c r="B11" s="333">
        <v>239</v>
      </c>
      <c r="C11" s="333">
        <v>725</v>
      </c>
      <c r="D11" s="333">
        <f t="shared" si="0"/>
        <v>-486</v>
      </c>
    </row>
    <row r="12" spans="1:4" ht="12.75">
      <c r="A12" s="359" t="s">
        <v>266</v>
      </c>
      <c r="B12" s="333">
        <f>194+165</f>
        <v>359</v>
      </c>
      <c r="C12" s="333">
        <f>177+58</f>
        <v>235</v>
      </c>
      <c r="D12" s="333">
        <f t="shared" si="0"/>
        <v>124</v>
      </c>
    </row>
    <row r="13" spans="1:4" ht="12.75">
      <c r="A13" s="375" t="s">
        <v>322</v>
      </c>
      <c r="B13" s="376">
        <v>0</v>
      </c>
      <c r="C13" s="376">
        <v>58</v>
      </c>
      <c r="D13" s="376">
        <f t="shared" si="0"/>
        <v>-58</v>
      </c>
    </row>
    <row r="14" spans="1:4" ht="12.75">
      <c r="A14" s="359" t="s">
        <v>298</v>
      </c>
      <c r="B14" s="333">
        <v>8166</v>
      </c>
      <c r="C14" s="333">
        <f>15965-8144</f>
        <v>7821</v>
      </c>
      <c r="D14" s="333">
        <f t="shared" si="0"/>
        <v>345</v>
      </c>
    </row>
    <row r="15" spans="1:4" ht="12.75">
      <c r="A15" s="359" t="s">
        <v>299</v>
      </c>
      <c r="B15" s="333">
        <f>35467+760</f>
        <v>36227</v>
      </c>
      <c r="C15" s="333">
        <f>30585+2948-1</f>
        <v>33532</v>
      </c>
      <c r="D15" s="333">
        <f t="shared" si="0"/>
        <v>2695</v>
      </c>
    </row>
    <row r="16" spans="1:4" ht="12.75">
      <c r="A16" s="359" t="s">
        <v>324</v>
      </c>
      <c r="B16" s="333">
        <v>0</v>
      </c>
      <c r="C16" s="333">
        <v>0</v>
      </c>
      <c r="D16" s="333">
        <f>+B16-C16</f>
        <v>0</v>
      </c>
    </row>
    <row r="17" spans="1:4" ht="12.75">
      <c r="A17" s="359" t="s">
        <v>325</v>
      </c>
      <c r="B17" s="333">
        <v>12587</v>
      </c>
      <c r="C17" s="333">
        <v>8877</v>
      </c>
      <c r="D17" s="333">
        <f t="shared" si="0"/>
        <v>3710</v>
      </c>
    </row>
    <row r="18" spans="1:4" ht="12.75">
      <c r="A18" s="375" t="s">
        <v>322</v>
      </c>
      <c r="B18" s="376">
        <v>799</v>
      </c>
      <c r="C18" s="376">
        <f>390+440</f>
        <v>830</v>
      </c>
      <c r="D18" s="376">
        <f t="shared" si="0"/>
        <v>-31</v>
      </c>
    </row>
    <row r="19" spans="1:4" ht="12.75">
      <c r="A19" s="360" t="s">
        <v>265</v>
      </c>
      <c r="B19" s="360">
        <f>SUM(B8:B17)-B13</f>
        <v>956166</v>
      </c>
      <c r="C19" s="360">
        <f>SUM(C8:C17)-C13</f>
        <v>937320</v>
      </c>
      <c r="D19" s="360">
        <f t="shared" si="0"/>
        <v>18846</v>
      </c>
    </row>
    <row r="20" spans="2:3" ht="11.25" customHeight="1">
      <c r="B20" s="333"/>
      <c r="C20" s="333"/>
    </row>
    <row r="21" spans="1:4" ht="12.75">
      <c r="A21" s="360" t="s">
        <v>300</v>
      </c>
      <c r="B21" s="337"/>
      <c r="C21" s="337"/>
      <c r="D21" s="337">
        <f>+B21-C21</f>
        <v>0</v>
      </c>
    </row>
    <row r="22" spans="2:3" ht="9.75" customHeight="1">
      <c r="B22" s="333"/>
      <c r="C22" s="333"/>
    </row>
    <row r="23" spans="1:3" ht="13.5" customHeight="1">
      <c r="A23" s="334" t="s">
        <v>302</v>
      </c>
      <c r="B23" s="333"/>
      <c r="C23" s="333"/>
    </row>
    <row r="24" spans="1:4" ht="12.75">
      <c r="A24" s="359" t="s">
        <v>324</v>
      </c>
      <c r="B24" s="333">
        <v>90278</v>
      </c>
      <c r="C24" s="333">
        <v>121412</v>
      </c>
      <c r="D24" s="333">
        <f aca="true" t="shared" si="1" ref="D24:D33">+B24-C24</f>
        <v>-31134</v>
      </c>
    </row>
    <row r="25" spans="1:4" ht="12.75">
      <c r="A25" s="375" t="s">
        <v>322</v>
      </c>
      <c r="B25" s="376">
        <v>460</v>
      </c>
      <c r="C25" s="376">
        <v>2042</v>
      </c>
      <c r="D25" s="376">
        <f t="shared" si="1"/>
        <v>-1582</v>
      </c>
    </row>
    <row r="26" spans="1:4" ht="12.75">
      <c r="A26" s="359" t="s">
        <v>325</v>
      </c>
      <c r="B26" s="333">
        <v>21380</v>
      </c>
      <c r="C26" s="333">
        <v>20345</v>
      </c>
      <c r="D26" s="333">
        <f>+B26-C26</f>
        <v>1035</v>
      </c>
    </row>
    <row r="27" spans="1:4" ht="12.75">
      <c r="A27" s="375" t="s">
        <v>322</v>
      </c>
      <c r="B27" s="376">
        <f>1168+793</f>
        <v>1961</v>
      </c>
      <c r="C27" s="376">
        <v>226</v>
      </c>
      <c r="D27" s="376">
        <f>+B27-C27</f>
        <v>1735</v>
      </c>
    </row>
    <row r="28" spans="1:4" ht="12.75">
      <c r="A28" s="359" t="s">
        <v>287</v>
      </c>
      <c r="B28" s="333">
        <v>27772</v>
      </c>
      <c r="C28" s="333">
        <f>19621</f>
        <v>19621</v>
      </c>
      <c r="D28" s="333">
        <f t="shared" si="1"/>
        <v>8151</v>
      </c>
    </row>
    <row r="29" spans="1:4" ht="12.75">
      <c r="A29" s="359" t="s">
        <v>60</v>
      </c>
      <c r="B29" s="333">
        <v>257961</v>
      </c>
      <c r="C29" s="333">
        <v>225529</v>
      </c>
      <c r="D29" s="333">
        <f t="shared" si="1"/>
        <v>32432</v>
      </c>
    </row>
    <row r="30" spans="1:4" ht="15.75" customHeight="1">
      <c r="A30" s="359" t="s">
        <v>266</v>
      </c>
      <c r="B30" s="333">
        <f>4182+1605</f>
        <v>5787</v>
      </c>
      <c r="C30" s="333">
        <v>18418</v>
      </c>
      <c r="D30" s="333">
        <f t="shared" si="1"/>
        <v>-12631</v>
      </c>
    </row>
    <row r="31" spans="1:4" ht="15.75" customHeight="1">
      <c r="A31" s="375" t="s">
        <v>322</v>
      </c>
      <c r="B31" s="376">
        <v>45</v>
      </c>
      <c r="C31" s="376">
        <v>58</v>
      </c>
      <c r="D31" s="376">
        <f t="shared" si="1"/>
        <v>-13</v>
      </c>
    </row>
    <row r="32" spans="1:4" ht="12.75">
      <c r="A32" s="361" t="s">
        <v>267</v>
      </c>
      <c r="B32" s="333">
        <f>42653-2668</f>
        <v>39985</v>
      </c>
      <c r="C32" s="333">
        <v>101334</v>
      </c>
      <c r="D32" s="333">
        <f t="shared" si="1"/>
        <v>-61349</v>
      </c>
    </row>
    <row r="33" spans="1:4" ht="12.75">
      <c r="A33" s="337" t="s">
        <v>268</v>
      </c>
      <c r="B33" s="337">
        <f>SUM(B24:B32)-B25-B31-B27</f>
        <v>443163</v>
      </c>
      <c r="C33" s="337">
        <f>SUM(C24:C32)-C25-C31-C27</f>
        <v>506659</v>
      </c>
      <c r="D33" s="337">
        <f t="shared" si="1"/>
        <v>-63496</v>
      </c>
    </row>
    <row r="34" spans="2:3" ht="10.5" customHeight="1">
      <c r="B34" s="333"/>
      <c r="C34" s="333"/>
    </row>
    <row r="35" spans="1:4" ht="13.5" thickBot="1">
      <c r="A35" s="349" t="s">
        <v>321</v>
      </c>
      <c r="B35" s="349">
        <f>+B33+B19</f>
        <v>1399329</v>
      </c>
      <c r="C35" s="349">
        <f>+C33+C19</f>
        <v>1443979</v>
      </c>
      <c r="D35" s="349">
        <f>+B35-C35</f>
        <v>-44650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2:3" ht="12.75">
      <c r="B38" s="333"/>
      <c r="C38" s="333"/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4" ht="12.75">
      <c r="B136" s="333"/>
      <c r="C136" s="333"/>
      <c r="D136" s="333" t="e">
        <f>+D134+D131+D98+#REF!+D88+#REF!</f>
        <v>#REF!</v>
      </c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1">
      <selection activeCell="A35" sqref="A35:IV35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318</v>
      </c>
      <c r="C2" s="328" t="s">
        <v>318</v>
      </c>
      <c r="D2" s="329"/>
    </row>
    <row r="3" spans="1:5" ht="12.75">
      <c r="A3" s="330" t="s">
        <v>317</v>
      </c>
      <c r="B3" s="331" t="s">
        <v>327</v>
      </c>
      <c r="C3" s="331" t="s">
        <v>326</v>
      </c>
      <c r="D3" s="332" t="s">
        <v>286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319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303</v>
      </c>
      <c r="B8" s="333">
        <v>396767</v>
      </c>
      <c r="C8" s="333">
        <v>470397</v>
      </c>
      <c r="D8" s="333">
        <f>+B8-C8</f>
        <v>-73630</v>
      </c>
      <c r="F8" s="333"/>
    </row>
    <row r="9" spans="1:6" ht="25.5">
      <c r="A9" s="335" t="s">
        <v>304</v>
      </c>
      <c r="B9" s="333">
        <v>1454</v>
      </c>
      <c r="C9" s="333">
        <v>1050</v>
      </c>
      <c r="D9" s="333">
        <f>+B9-C9</f>
        <v>404</v>
      </c>
      <c r="F9" s="333"/>
    </row>
    <row r="10" spans="1:4" ht="12.75">
      <c r="A10" s="336" t="s">
        <v>305</v>
      </c>
      <c r="B10" s="337">
        <f>+B8+B9</f>
        <v>398221</v>
      </c>
      <c r="C10" s="337">
        <f>+C8+C9</f>
        <v>471447</v>
      </c>
      <c r="D10" s="337">
        <f>+B10-C10</f>
        <v>-73226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306</v>
      </c>
      <c r="B12" s="338"/>
      <c r="C12" s="338"/>
      <c r="D12" s="338"/>
    </row>
    <row r="13" spans="1:6" ht="12.75">
      <c r="A13" s="339" t="s">
        <v>311</v>
      </c>
      <c r="B13" s="340">
        <v>264789</v>
      </c>
      <c r="C13" s="340">
        <v>322921</v>
      </c>
      <c r="D13" s="340">
        <f aca="true" t="shared" si="0" ref="D13:D20">+B13-C13</f>
        <v>-58132</v>
      </c>
      <c r="F13" s="340"/>
    </row>
    <row r="14" spans="1:4" ht="12.75">
      <c r="A14" s="341" t="s">
        <v>270</v>
      </c>
      <c r="B14" s="340"/>
      <c r="C14" s="340"/>
      <c r="D14" s="340">
        <f t="shared" si="0"/>
        <v>0</v>
      </c>
    </row>
    <row r="15" spans="1:4" ht="12.75">
      <c r="A15" s="341" t="s">
        <v>307</v>
      </c>
      <c r="B15" s="377">
        <v>64160</v>
      </c>
      <c r="C15" s="377">
        <v>62204</v>
      </c>
      <c r="D15" s="340">
        <f t="shared" si="0"/>
        <v>1956</v>
      </c>
    </row>
    <row r="16" spans="1:4" ht="12.75">
      <c r="A16" s="339" t="s">
        <v>308</v>
      </c>
      <c r="B16" s="340">
        <v>21678</v>
      </c>
      <c r="C16" s="340">
        <v>19969</v>
      </c>
      <c r="D16" s="340">
        <f t="shared" si="0"/>
        <v>1709</v>
      </c>
    </row>
    <row r="17" spans="1:4" ht="12.75">
      <c r="A17" s="347" t="s">
        <v>312</v>
      </c>
      <c r="B17" s="333">
        <v>166</v>
      </c>
      <c r="C17" s="333"/>
      <c r="D17" s="333">
        <f t="shared" si="0"/>
        <v>166</v>
      </c>
    </row>
    <row r="18" spans="1:4" ht="12.75">
      <c r="A18" s="341" t="s">
        <v>323</v>
      </c>
      <c r="B18" s="340">
        <f>4963+1002</f>
        <v>5965</v>
      </c>
      <c r="C18" s="340">
        <f>19744+1002</f>
        <v>20746</v>
      </c>
      <c r="D18" s="340">
        <f>+B18-C18</f>
        <v>-14781</v>
      </c>
    </row>
    <row r="19" spans="1:4" ht="12.75">
      <c r="A19" s="339" t="s">
        <v>309</v>
      </c>
      <c r="B19" s="340">
        <f>31759+36</f>
        <v>31795</v>
      </c>
      <c r="C19" s="340">
        <f>39482+32</f>
        <v>39514</v>
      </c>
      <c r="D19" s="340">
        <f t="shared" si="0"/>
        <v>-7719</v>
      </c>
    </row>
    <row r="20" spans="1:4" ht="12.75">
      <c r="A20" s="342" t="s">
        <v>269</v>
      </c>
      <c r="B20" s="337">
        <f>SUM(B13:B19)</f>
        <v>388553</v>
      </c>
      <c r="C20" s="337">
        <f>SUM(C13:C19)</f>
        <v>465354</v>
      </c>
      <c r="D20" s="343">
        <f t="shared" si="0"/>
        <v>-76801</v>
      </c>
    </row>
    <row r="21" spans="1:4" ht="7.5" customHeight="1">
      <c r="A21" s="344"/>
      <c r="B21" s="345"/>
      <c r="C21" s="345"/>
      <c r="D21" s="345"/>
    </row>
    <row r="22" spans="1:4" ht="14.25" customHeight="1">
      <c r="A22" s="334" t="s">
        <v>314</v>
      </c>
      <c r="B22" s="345"/>
      <c r="C22" s="345"/>
      <c r="D22" s="345"/>
    </row>
    <row r="23" spans="1:6" ht="12.75">
      <c r="A23" s="346" t="s">
        <v>310</v>
      </c>
      <c r="B23" s="333">
        <v>140691</v>
      </c>
      <c r="C23" s="333">
        <v>66614</v>
      </c>
      <c r="D23" s="333">
        <f aca="true" t="shared" si="1" ref="D23:D30">+B23-C23</f>
        <v>74077</v>
      </c>
      <c r="F23" s="333"/>
    </row>
    <row r="24" spans="1:4" ht="12.75">
      <c r="A24" s="347" t="s">
        <v>270</v>
      </c>
      <c r="B24" s="333">
        <v>362224</v>
      </c>
      <c r="C24" s="333">
        <v>347460</v>
      </c>
      <c r="D24" s="333">
        <f t="shared" si="1"/>
        <v>14764</v>
      </c>
    </row>
    <row r="25" spans="1:4" s="333" customFormat="1" ht="12.75">
      <c r="A25" s="375" t="s">
        <v>322</v>
      </c>
      <c r="B25" s="376">
        <v>8712</v>
      </c>
      <c r="C25" s="376">
        <v>4781</v>
      </c>
      <c r="D25" s="376">
        <f t="shared" si="1"/>
        <v>3931</v>
      </c>
    </row>
    <row r="26" spans="1:4" ht="12.75">
      <c r="A26" s="347" t="s">
        <v>312</v>
      </c>
      <c r="B26" s="333">
        <v>19065</v>
      </c>
      <c r="C26" s="333">
        <v>9683</v>
      </c>
      <c r="D26" s="333">
        <f t="shared" si="1"/>
        <v>9382</v>
      </c>
    </row>
    <row r="27" spans="1:4" ht="12.75">
      <c r="A27" s="347" t="s">
        <v>313</v>
      </c>
      <c r="B27" s="333">
        <f>9205+61472</f>
        <v>70677</v>
      </c>
      <c r="C27" s="333">
        <f>10784+48878</f>
        <v>59662</v>
      </c>
      <c r="D27" s="333">
        <f t="shared" si="1"/>
        <v>11015</v>
      </c>
    </row>
    <row r="28" spans="1:4" s="333" customFormat="1" ht="12.75">
      <c r="A28" s="375" t="s">
        <v>322</v>
      </c>
      <c r="B28" s="376">
        <v>600</v>
      </c>
      <c r="C28" s="376">
        <v>180</v>
      </c>
      <c r="D28" s="376">
        <f>+B28-C28</f>
        <v>420</v>
      </c>
    </row>
    <row r="29" spans="1:4" ht="12.75">
      <c r="A29" s="346" t="s">
        <v>271</v>
      </c>
      <c r="B29" s="333">
        <v>19898</v>
      </c>
      <c r="C29" s="333">
        <v>23759</v>
      </c>
      <c r="D29" s="333">
        <f t="shared" si="1"/>
        <v>-3861</v>
      </c>
    </row>
    <row r="30" spans="1:4" ht="12.75">
      <c r="A30" s="348" t="s">
        <v>272</v>
      </c>
      <c r="B30" s="337">
        <f>SUM(B23:B29)-B25-B28</f>
        <v>612555</v>
      </c>
      <c r="C30" s="337">
        <f>SUM(C23:C29)-C25-C28</f>
        <v>507178</v>
      </c>
      <c r="D30" s="337">
        <f t="shared" si="1"/>
        <v>105377</v>
      </c>
    </row>
    <row r="31" spans="1:4" ht="7.5" customHeight="1">
      <c r="A31" s="333"/>
      <c r="B31" s="333"/>
      <c r="C31" s="333"/>
      <c r="D31" s="333"/>
    </row>
    <row r="32" spans="1:4" ht="13.5" thickBot="1">
      <c r="A32" s="349" t="s">
        <v>320</v>
      </c>
      <c r="B32" s="349">
        <f>+B30+B20+B10</f>
        <v>1399329</v>
      </c>
      <c r="C32" s="349">
        <f>+C30+C20+C10</f>
        <v>1443979</v>
      </c>
      <c r="D32" s="349">
        <f>+B32-C32</f>
        <v>-44650</v>
      </c>
    </row>
    <row r="33" spans="1:4" ht="13.5" thickTop="1">
      <c r="A33" s="333"/>
      <c r="B33" s="333"/>
      <c r="C33" s="333"/>
      <c r="D33" s="333"/>
    </row>
    <row r="34" spans="1:4" ht="12.75">
      <c r="A34" s="333"/>
      <c r="B34" s="333"/>
      <c r="C34" s="333"/>
      <c r="D34" s="333"/>
    </row>
    <row r="35" spans="2:3" ht="15">
      <c r="B35" s="323"/>
      <c r="C35" s="323"/>
    </row>
    <row r="36" spans="1:3" ht="15">
      <c r="A36" s="333"/>
      <c r="B36" s="323"/>
      <c r="C36" s="323"/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4" ht="15">
      <c r="B133" s="323"/>
      <c r="C133" s="323"/>
      <c r="D133" s="323" t="e">
        <f>+D131+D128+D95+#REF!+D85+#REF!</f>
        <v>#REF!</v>
      </c>
    </row>
    <row r="134" spans="2:3" ht="15">
      <c r="B134" s="323"/>
      <c r="C134" s="323"/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7.8515625" style="333" customWidth="1"/>
    <col min="2" max="3" width="12.8515625" style="362" customWidth="1"/>
    <col min="4" max="4" width="13.57421875" style="333" customWidth="1"/>
    <col min="5" max="16384" width="9.140625" style="366" customWidth="1"/>
  </cols>
  <sheetData>
    <row r="1" spans="1:4" s="319" customFormat="1" ht="12.75">
      <c r="A1" s="363" t="s">
        <v>138</v>
      </c>
      <c r="B1" s="364"/>
      <c r="C1" s="364"/>
      <c r="D1" s="318"/>
    </row>
    <row r="2" spans="1:4" ht="12.75">
      <c r="A2" s="330" t="s">
        <v>317</v>
      </c>
      <c r="B2" s="380">
        <v>2008</v>
      </c>
      <c r="C2" s="380">
        <v>2007</v>
      </c>
      <c r="D2" s="365" t="s">
        <v>286</v>
      </c>
    </row>
    <row r="3" spans="1:4" ht="12.75">
      <c r="A3" s="367"/>
      <c r="B3" s="338"/>
      <c r="C3" s="338"/>
      <c r="D3" s="338"/>
    </row>
    <row r="4" spans="1:4" ht="12.75">
      <c r="A4" s="368" t="s">
        <v>273</v>
      </c>
      <c r="B4" s="345">
        <v>1570060</v>
      </c>
      <c r="C4" s="345">
        <v>1692126</v>
      </c>
      <c r="D4" s="345">
        <v>-122066</v>
      </c>
    </row>
    <row r="5" spans="1:4" ht="12.75">
      <c r="A5" s="375" t="s">
        <v>322</v>
      </c>
      <c r="B5" s="376">
        <v>58</v>
      </c>
      <c r="C5" s="376">
        <v>1</v>
      </c>
      <c r="D5" s="376">
        <v>57</v>
      </c>
    </row>
    <row r="6" spans="1:4" ht="12.75">
      <c r="A6" s="368"/>
      <c r="B6" s="345"/>
      <c r="C6" s="345"/>
      <c r="D6" s="345"/>
    </row>
    <row r="7" spans="1:4" ht="12.75">
      <c r="A7" s="347" t="s">
        <v>275</v>
      </c>
      <c r="B7" s="333">
        <v>936603</v>
      </c>
      <c r="C7" s="333">
        <v>1020442</v>
      </c>
      <c r="D7" s="333">
        <v>-83839</v>
      </c>
    </row>
    <row r="8" spans="1:4" ht="12.75">
      <c r="A8" s="375" t="s">
        <v>322</v>
      </c>
      <c r="B8" s="376">
        <v>43855</v>
      </c>
      <c r="C8" s="376">
        <v>51202</v>
      </c>
      <c r="D8" s="376">
        <v>-7347</v>
      </c>
    </row>
    <row r="9" spans="1:4" ht="12.75">
      <c r="A9" s="347" t="s">
        <v>276</v>
      </c>
      <c r="B9" s="333">
        <v>292920</v>
      </c>
      <c r="C9" s="333">
        <v>303560</v>
      </c>
      <c r="D9" s="333">
        <v>-10640</v>
      </c>
    </row>
    <row r="10" spans="1:4" ht="12.75">
      <c r="A10" s="375" t="s">
        <v>322</v>
      </c>
      <c r="B10" s="376">
        <v>1557</v>
      </c>
      <c r="C10" s="376">
        <v>1393</v>
      </c>
      <c r="D10" s="376">
        <v>164</v>
      </c>
    </row>
    <row r="11" spans="1:4" ht="12.75">
      <c r="A11" s="347" t="s">
        <v>277</v>
      </c>
      <c r="B11" s="333">
        <v>250967</v>
      </c>
      <c r="C11" s="333">
        <v>237754</v>
      </c>
      <c r="D11" s="333">
        <v>13213</v>
      </c>
    </row>
    <row r="12" spans="1:4" ht="12.75">
      <c r="A12" s="347" t="s">
        <v>328</v>
      </c>
      <c r="B12" s="333">
        <v>38073</v>
      </c>
      <c r="C12" s="333">
        <v>39802</v>
      </c>
      <c r="D12" s="333">
        <v>-1729</v>
      </c>
    </row>
    <row r="13" spans="1:4" ht="12.75">
      <c r="A13" s="347" t="s">
        <v>278</v>
      </c>
      <c r="B13" s="333">
        <v>56467</v>
      </c>
      <c r="C13" s="333">
        <v>49724</v>
      </c>
      <c r="D13" s="333">
        <v>6743</v>
      </c>
    </row>
    <row r="14" spans="1:4" ht="12.75">
      <c r="A14" s="347" t="s">
        <v>274</v>
      </c>
      <c r="B14" s="333">
        <v>133474</v>
      </c>
      <c r="C14" s="333">
        <v>127487</v>
      </c>
      <c r="D14" s="333">
        <v>5987</v>
      </c>
    </row>
    <row r="15" spans="1:4" ht="12.75">
      <c r="A15" s="375" t="s">
        <v>322</v>
      </c>
      <c r="B15" s="376">
        <v>2035</v>
      </c>
      <c r="C15" s="376">
        <v>4417</v>
      </c>
      <c r="D15" s="376">
        <v>-2382</v>
      </c>
    </row>
    <row r="16" spans="1:4" ht="12.75">
      <c r="A16" s="347" t="s">
        <v>279</v>
      </c>
      <c r="B16" s="333">
        <v>33993</v>
      </c>
      <c r="C16" s="333">
        <v>31754</v>
      </c>
      <c r="D16" s="333">
        <v>2239</v>
      </c>
    </row>
    <row r="17" spans="1:4" ht="12.75">
      <c r="A17" s="375" t="s">
        <v>322</v>
      </c>
      <c r="B17" s="376">
        <v>10</v>
      </c>
      <c r="C17" s="376">
        <v>14</v>
      </c>
      <c r="D17" s="376">
        <v>-4</v>
      </c>
    </row>
    <row r="18" spans="1:4" ht="13.5" thickBot="1">
      <c r="A18" s="369" t="s">
        <v>280</v>
      </c>
      <c r="B18" s="369">
        <v>94511</v>
      </c>
      <c r="C18" s="369">
        <v>136577</v>
      </c>
      <c r="D18" s="369">
        <v>-42066</v>
      </c>
    </row>
    <row r="19" spans="2:3" ht="13.5" thickTop="1">
      <c r="B19" s="333"/>
      <c r="C19" s="333"/>
    </row>
    <row r="20" spans="1:4" ht="12.75">
      <c r="A20" s="333" t="s">
        <v>281</v>
      </c>
      <c r="B20" s="333">
        <v>12</v>
      </c>
      <c r="C20" s="333">
        <v>79</v>
      </c>
      <c r="D20" s="333">
        <v>-67</v>
      </c>
    </row>
    <row r="21" spans="1:4" ht="12.75">
      <c r="A21" s="346" t="s">
        <v>288</v>
      </c>
      <c r="B21" s="333">
        <v>31906</v>
      </c>
      <c r="C21" s="333">
        <v>17552</v>
      </c>
      <c r="D21" s="333">
        <v>14354</v>
      </c>
    </row>
    <row r="22" spans="1:4" ht="12.75">
      <c r="A22" s="346" t="s">
        <v>289</v>
      </c>
      <c r="B22" s="333">
        <v>-66796</v>
      </c>
      <c r="C22" s="333">
        <v>-50679</v>
      </c>
      <c r="D22" s="333">
        <v>-16117</v>
      </c>
    </row>
    <row r="23" spans="1:4" ht="12.75">
      <c r="A23" s="375" t="s">
        <v>322</v>
      </c>
      <c r="B23" s="376">
        <v>-246</v>
      </c>
      <c r="C23" s="376">
        <v>0</v>
      </c>
      <c r="D23" s="376">
        <v>-246</v>
      </c>
    </row>
    <row r="24" spans="1:4" ht="13.5" thickBot="1">
      <c r="A24" s="349" t="s">
        <v>282</v>
      </c>
      <c r="B24" s="349">
        <v>59633</v>
      </c>
      <c r="C24" s="349">
        <v>103529</v>
      </c>
      <c r="D24" s="349">
        <v>-43896</v>
      </c>
    </row>
    <row r="25" spans="2:3" ht="13.5" thickTop="1">
      <c r="B25" s="333"/>
      <c r="C25" s="333"/>
    </row>
    <row r="26" spans="1:4" ht="12.75">
      <c r="A26" s="368" t="s">
        <v>290</v>
      </c>
      <c r="B26" s="345">
        <v>16302</v>
      </c>
      <c r="C26" s="345">
        <v>43527</v>
      </c>
      <c r="D26" s="345">
        <v>-27225</v>
      </c>
    </row>
    <row r="27" spans="2:3" ht="12.75">
      <c r="B27" s="333"/>
      <c r="C27" s="333"/>
    </row>
    <row r="28" spans="1:4" ht="13.5" thickBot="1">
      <c r="A28" s="370" t="s">
        <v>291</v>
      </c>
      <c r="B28" s="349">
        <v>43331</v>
      </c>
      <c r="C28" s="349">
        <v>60002</v>
      </c>
      <c r="D28" s="349">
        <v>-16671</v>
      </c>
    </row>
    <row r="29" spans="1:4" ht="13.5" thickTop="1">
      <c r="A29" s="371"/>
      <c r="B29" s="338"/>
      <c r="C29" s="338"/>
      <c r="D29" s="338"/>
    </row>
    <row r="30" spans="1:4" ht="12.75">
      <c r="A30" s="371" t="s">
        <v>296</v>
      </c>
      <c r="B30" s="338"/>
      <c r="C30" s="338"/>
      <c r="D30" s="338"/>
    </row>
    <row r="31" spans="1:4" ht="25.5">
      <c r="A31" s="372" t="s">
        <v>283</v>
      </c>
      <c r="B31" s="345"/>
      <c r="C31" s="345"/>
      <c r="D31" s="345">
        <v>0</v>
      </c>
    </row>
    <row r="32" spans="2:3" ht="12.75">
      <c r="B32" s="333"/>
      <c r="C32" s="333"/>
    </row>
    <row r="33" spans="1:4" ht="13.5" thickBot="1">
      <c r="A33" s="373" t="s">
        <v>292</v>
      </c>
      <c r="B33" s="349">
        <v>43331</v>
      </c>
      <c r="C33" s="349">
        <v>60002</v>
      </c>
      <c r="D33" s="349">
        <v>-16671</v>
      </c>
    </row>
    <row r="34" spans="1:4" ht="13.5" thickTop="1">
      <c r="A34" s="374"/>
      <c r="B34" s="338"/>
      <c r="C34" s="338"/>
      <c r="D34" s="338"/>
    </row>
    <row r="35" spans="1:4" ht="12.75">
      <c r="A35" s="374" t="s">
        <v>293</v>
      </c>
      <c r="B35" s="338"/>
      <c r="C35" s="338"/>
      <c r="D35" s="338"/>
    </row>
    <row r="36" spans="1:4" ht="12.75">
      <c r="A36" s="345" t="s">
        <v>294</v>
      </c>
      <c r="B36" s="345">
        <v>43001</v>
      </c>
      <c r="C36" s="345">
        <v>59561</v>
      </c>
      <c r="D36" s="345">
        <v>-16560</v>
      </c>
    </row>
    <row r="37" spans="1:4" ht="12.75">
      <c r="A37" s="368" t="s">
        <v>295</v>
      </c>
      <c r="B37" s="345">
        <v>330</v>
      </c>
      <c r="C37" s="345">
        <v>441</v>
      </c>
      <c r="D37" s="345">
        <v>-111</v>
      </c>
    </row>
    <row r="38" spans="1:4" ht="12.75">
      <c r="A38" s="368"/>
      <c r="B38" s="345"/>
      <c r="C38" s="345"/>
      <c r="D38" s="345"/>
    </row>
    <row r="39" spans="1:4" ht="12.75">
      <c r="A39" s="345" t="s">
        <v>315</v>
      </c>
      <c r="B39" s="378">
        <v>0.11</v>
      </c>
      <c r="C39" s="378">
        <v>0.15</v>
      </c>
      <c r="D39" s="379">
        <v>-0.04</v>
      </c>
    </row>
    <row r="40" spans="1:4" ht="12.75">
      <c r="A40" s="345" t="s">
        <v>316</v>
      </c>
      <c r="B40" s="378">
        <v>0.11</v>
      </c>
      <c r="C40" s="378">
        <v>0.14</v>
      </c>
      <c r="D40" s="379">
        <v>-0.03</v>
      </c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1:3" ht="12.75">
      <c r="A115" s="333" t="s">
        <v>284</v>
      </c>
      <c r="B115" s="333"/>
      <c r="C115" s="333"/>
    </row>
    <row r="116" spans="2:3" ht="12.75">
      <c r="B116" s="333"/>
      <c r="C116" s="333"/>
    </row>
    <row r="117" spans="1:3" ht="12.75">
      <c r="A117" s="345" t="s">
        <v>285</v>
      </c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4" ht="12.75">
      <c r="B162" s="333"/>
      <c r="C162" s="333"/>
      <c r="D162" s="333">
        <v>0</v>
      </c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2" t="s">
        <v>231</v>
      </c>
      <c r="C1" s="393"/>
      <c r="D1" s="394"/>
      <c r="E1" s="392" t="s">
        <v>237</v>
      </c>
      <c r="F1" s="393"/>
      <c r="G1" s="394"/>
      <c r="H1" s="393" t="s">
        <v>233</v>
      </c>
      <c r="I1" s="393"/>
      <c r="J1" s="394"/>
      <c r="K1" s="392" t="s">
        <v>234</v>
      </c>
      <c r="L1" s="393"/>
      <c r="M1" s="393"/>
      <c r="N1" s="392" t="s">
        <v>238</v>
      </c>
      <c r="O1" s="393"/>
      <c r="P1" s="394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5" t="s">
        <v>231</v>
      </c>
      <c r="C10" s="396"/>
      <c r="D10" s="397"/>
      <c r="E10" s="395" t="s">
        <v>232</v>
      </c>
      <c r="F10" s="396"/>
      <c r="G10" s="397"/>
      <c r="H10" s="395"/>
      <c r="I10" s="396"/>
      <c r="J10" s="397"/>
      <c r="K10" s="395"/>
      <c r="L10" s="396"/>
      <c r="M10" s="397"/>
      <c r="N10" s="395"/>
      <c r="O10" s="396"/>
      <c r="P10" s="397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0.00390625" style="401" customWidth="1"/>
    <col min="2" max="2" width="15.421875" style="401" customWidth="1"/>
    <col min="3" max="3" width="15.8515625" style="401" customWidth="1"/>
    <col min="4" max="4" width="13.7109375" style="401" customWidth="1"/>
    <col min="5" max="16384" width="9.140625" style="401" customWidth="1"/>
  </cols>
  <sheetData>
    <row r="1" spans="1:4" ht="10.5">
      <c r="A1" s="398" t="s">
        <v>317</v>
      </c>
      <c r="B1" s="399">
        <v>2008</v>
      </c>
      <c r="C1" s="399">
        <v>2007</v>
      </c>
      <c r="D1" s="400" t="s">
        <v>286</v>
      </c>
    </row>
    <row r="2" spans="1:4" ht="10.5">
      <c r="A2" s="402" t="s">
        <v>364</v>
      </c>
      <c r="B2" s="403"/>
      <c r="C2" s="403"/>
      <c r="D2" s="403"/>
    </row>
    <row r="3" spans="1:4" ht="10.5">
      <c r="A3" s="401" t="s">
        <v>292</v>
      </c>
      <c r="B3" s="404">
        <v>43001</v>
      </c>
      <c r="C3" s="404">
        <v>59561</v>
      </c>
      <c r="D3" s="404">
        <f>+B3-C3</f>
        <v>-16560</v>
      </c>
    </row>
    <row r="4" spans="1:4" ht="10.5">
      <c r="A4" s="401" t="s">
        <v>365</v>
      </c>
      <c r="B4" s="404">
        <v>330</v>
      </c>
      <c r="C4" s="404">
        <v>441</v>
      </c>
      <c r="D4" s="404">
        <f aca="true" t="shared" si="0" ref="D4:D28">+B4-C4</f>
        <v>-111</v>
      </c>
    </row>
    <row r="5" spans="1:4" ht="10.5">
      <c r="A5" s="401" t="s">
        <v>366</v>
      </c>
      <c r="B5" s="404">
        <v>16302</v>
      </c>
      <c r="C5" s="404">
        <v>43527</v>
      </c>
      <c r="D5" s="404">
        <f t="shared" si="0"/>
        <v>-27225</v>
      </c>
    </row>
    <row r="6" spans="1:4" ht="10.5">
      <c r="A6" s="401" t="s">
        <v>367</v>
      </c>
      <c r="B6" s="404">
        <v>38073</v>
      </c>
      <c r="C6" s="404">
        <v>39802</v>
      </c>
      <c r="D6" s="404">
        <f t="shared" si="0"/>
        <v>-1729</v>
      </c>
    </row>
    <row r="7" spans="1:4" ht="10.5">
      <c r="A7" s="401" t="s">
        <v>368</v>
      </c>
      <c r="B7" s="404">
        <v>56467</v>
      </c>
      <c r="C7" s="404">
        <v>49724</v>
      </c>
      <c r="D7" s="404">
        <f t="shared" si="0"/>
        <v>6743</v>
      </c>
    </row>
    <row r="8" spans="1:4" ht="10.5">
      <c r="A8" s="401" t="s">
        <v>369</v>
      </c>
      <c r="B8" s="404">
        <v>1980</v>
      </c>
      <c r="C8" s="404">
        <v>1749</v>
      </c>
      <c r="D8" s="404">
        <f t="shared" si="0"/>
        <v>231</v>
      </c>
    </row>
    <row r="9" spans="1:4" ht="10.5">
      <c r="A9" s="401" t="s">
        <v>370</v>
      </c>
      <c r="B9" s="404">
        <v>29836</v>
      </c>
      <c r="C9" s="404">
        <v>14375</v>
      </c>
      <c r="D9" s="404">
        <f t="shared" si="0"/>
        <v>15461</v>
      </c>
    </row>
    <row r="10" spans="1:4" ht="10.5">
      <c r="A10" s="401" t="s">
        <v>371</v>
      </c>
      <c r="B10" s="404">
        <v>6268</v>
      </c>
      <c r="C10" s="404">
        <v>4226</v>
      </c>
      <c r="D10" s="404">
        <f t="shared" si="0"/>
        <v>2042</v>
      </c>
    </row>
    <row r="11" spans="1:4" ht="10.5">
      <c r="A11" s="401" t="s">
        <v>372</v>
      </c>
      <c r="B11" s="404">
        <v>-237</v>
      </c>
      <c r="C11" s="404">
        <v>-138</v>
      </c>
      <c r="D11" s="404">
        <f t="shared" si="0"/>
        <v>-99</v>
      </c>
    </row>
    <row r="12" spans="1:4" ht="10.5">
      <c r="A12" s="401" t="s">
        <v>373</v>
      </c>
      <c r="B12" s="404"/>
      <c r="C12" s="404">
        <v>-5</v>
      </c>
      <c r="D12" s="404">
        <f t="shared" si="0"/>
        <v>5</v>
      </c>
    </row>
    <row r="13" spans="1:4" ht="10.5">
      <c r="A13" s="401" t="s">
        <v>288</v>
      </c>
      <c r="B13" s="404">
        <v>-3905</v>
      </c>
      <c r="C13" s="404">
        <v>-2858</v>
      </c>
      <c r="D13" s="404">
        <f t="shared" si="0"/>
        <v>-1047</v>
      </c>
    </row>
    <row r="14" spans="1:4" ht="10.5">
      <c r="A14" s="401" t="s">
        <v>289</v>
      </c>
      <c r="B14" s="404">
        <v>35723</v>
      </c>
      <c r="C14" s="404">
        <v>32695</v>
      </c>
      <c r="D14" s="404">
        <f t="shared" si="0"/>
        <v>3028</v>
      </c>
    </row>
    <row r="15" spans="1:4" ht="10.5">
      <c r="A15" s="401" t="s">
        <v>374</v>
      </c>
      <c r="B15" s="404">
        <v>-7316</v>
      </c>
      <c r="C15" s="404">
        <v>-1728</v>
      </c>
      <c r="D15" s="404">
        <f t="shared" si="0"/>
        <v>-5588</v>
      </c>
    </row>
    <row r="16" spans="1:4" ht="10.5">
      <c r="A16" s="401" t="s">
        <v>375</v>
      </c>
      <c r="B16" s="404"/>
      <c r="C16" s="404">
        <v>9</v>
      </c>
      <c r="D16" s="404">
        <f t="shared" si="0"/>
        <v>-9</v>
      </c>
    </row>
    <row r="17" spans="1:4" ht="10.5">
      <c r="A17" s="402" t="s">
        <v>376</v>
      </c>
      <c r="B17" s="404"/>
      <c r="C17" s="404"/>
      <c r="D17" s="404"/>
    </row>
    <row r="18" spans="1:7" ht="10.5">
      <c r="A18" s="401" t="s">
        <v>377</v>
      </c>
      <c r="B18" s="404">
        <v>31134</v>
      </c>
      <c r="C18" s="404">
        <v>19564</v>
      </c>
      <c r="D18" s="404">
        <f t="shared" si="0"/>
        <v>11570</v>
      </c>
      <c r="G18" s="405"/>
    </row>
    <row r="19" spans="1:7" ht="10.5">
      <c r="A19" s="401" t="s">
        <v>378</v>
      </c>
      <c r="B19" s="404">
        <v>-1035</v>
      </c>
      <c r="C19" s="404">
        <v>37176</v>
      </c>
      <c r="D19" s="404">
        <f>+B19-C19</f>
        <v>-38211</v>
      </c>
      <c r="G19" s="405"/>
    </row>
    <row r="20" spans="1:4" ht="10.5">
      <c r="A20" s="401" t="s">
        <v>379</v>
      </c>
      <c r="B20" s="404">
        <v>-32432</v>
      </c>
      <c r="C20" s="404">
        <v>7777</v>
      </c>
      <c r="D20" s="404">
        <f t="shared" si="0"/>
        <v>-40209</v>
      </c>
    </row>
    <row r="21" spans="1:7" ht="10.5">
      <c r="A21" s="401" t="s">
        <v>380</v>
      </c>
      <c r="B21" s="404">
        <v>14764</v>
      </c>
      <c r="C21" s="404">
        <v>-47405</v>
      </c>
      <c r="D21" s="404">
        <f t="shared" si="0"/>
        <v>62169</v>
      </c>
      <c r="G21" s="405"/>
    </row>
    <row r="22" spans="1:7" ht="10.5">
      <c r="A22" s="401" t="s">
        <v>381</v>
      </c>
      <c r="B22" s="404">
        <f>11015-14781</f>
        <v>-3766</v>
      </c>
      <c r="C22" s="404">
        <v>16521</v>
      </c>
      <c r="D22" s="404">
        <f t="shared" si="0"/>
        <v>-20287</v>
      </c>
      <c r="G22" s="405"/>
    </row>
    <row r="23" spans="1:4" s="406" customFormat="1" ht="10.5">
      <c r="A23" s="406" t="s">
        <v>382</v>
      </c>
      <c r="B23" s="407">
        <v>-18411</v>
      </c>
      <c r="C23" s="407">
        <v>-10624</v>
      </c>
      <c r="D23" s="407">
        <f t="shared" si="0"/>
        <v>-7787</v>
      </c>
    </row>
    <row r="24" spans="1:4" ht="10.5">
      <c r="A24" s="401" t="s">
        <v>383</v>
      </c>
      <c r="B24" s="404">
        <v>-11621</v>
      </c>
      <c r="C24" s="404">
        <v>-14755</v>
      </c>
      <c r="D24" s="404">
        <f t="shared" si="0"/>
        <v>3134</v>
      </c>
    </row>
    <row r="25" spans="1:4" ht="10.5">
      <c r="A25" s="401" t="s">
        <v>384</v>
      </c>
      <c r="B25" s="404">
        <f>-17669-1980+3197</f>
        <v>-16452</v>
      </c>
      <c r="C25" s="404">
        <f>-38179-1749</f>
        <v>-39928</v>
      </c>
      <c r="D25" s="404">
        <f t="shared" si="0"/>
        <v>23476</v>
      </c>
    </row>
    <row r="26" spans="1:8" ht="10.5">
      <c r="A26" s="408" t="s">
        <v>385</v>
      </c>
      <c r="B26" s="409">
        <f>SUM(B3:B25)</f>
        <v>178703</v>
      </c>
      <c r="C26" s="409">
        <f>SUM(C3:C25)</f>
        <v>209706</v>
      </c>
      <c r="D26" s="409">
        <f>SUM(D3:D25)</f>
        <v>-31003</v>
      </c>
      <c r="G26" s="405"/>
      <c r="H26" s="405"/>
    </row>
    <row r="27" spans="1:4" ht="10.5">
      <c r="A27" s="401" t="s">
        <v>386</v>
      </c>
      <c r="B27" s="404">
        <v>-32716</v>
      </c>
      <c r="C27" s="404">
        <v>-17764</v>
      </c>
      <c r="D27" s="404">
        <f t="shared" si="0"/>
        <v>-14952</v>
      </c>
    </row>
    <row r="28" spans="1:4" ht="10.5">
      <c r="A28" s="401" t="s">
        <v>387</v>
      </c>
      <c r="B28" s="404">
        <v>-22394</v>
      </c>
      <c r="C28" s="404">
        <v>-23519</v>
      </c>
      <c r="D28" s="404">
        <f t="shared" si="0"/>
        <v>1125</v>
      </c>
    </row>
    <row r="29" spans="1:4" ht="10.5">
      <c r="A29" s="408" t="s">
        <v>388</v>
      </c>
      <c r="B29" s="409">
        <f>SUM(B26:B28)</f>
        <v>123593</v>
      </c>
      <c r="C29" s="409">
        <f>SUM(C26:C28)</f>
        <v>168423</v>
      </c>
      <c r="D29" s="409">
        <f>SUM(D26:D28)</f>
        <v>-44830</v>
      </c>
    </row>
    <row r="30" spans="2:4" ht="10.5">
      <c r="B30" s="404"/>
      <c r="C30" s="404"/>
      <c r="D30" s="404"/>
    </row>
    <row r="31" spans="1:4" ht="10.5">
      <c r="A31" s="402" t="s">
        <v>389</v>
      </c>
      <c r="B31" s="404"/>
      <c r="C31" s="404"/>
      <c r="D31" s="404"/>
    </row>
    <row r="32" spans="1:4" ht="10.5">
      <c r="A32" s="401" t="s">
        <v>390</v>
      </c>
      <c r="B32" s="404">
        <v>-45635</v>
      </c>
      <c r="C32" s="404">
        <v>-36184</v>
      </c>
      <c r="D32" s="404">
        <f aca="true" t="shared" si="1" ref="D32:D41">+B32-C32</f>
        <v>-9451</v>
      </c>
    </row>
    <row r="33" spans="1:4" ht="10.5">
      <c r="A33" s="401" t="s">
        <v>391</v>
      </c>
      <c r="B33" s="404">
        <v>1116</v>
      </c>
      <c r="C33" s="404">
        <v>1684</v>
      </c>
      <c r="D33" s="404">
        <f t="shared" si="1"/>
        <v>-568</v>
      </c>
    </row>
    <row r="34" spans="1:4" ht="10.5">
      <c r="A34" s="401" t="s">
        <v>392</v>
      </c>
      <c r="B34" s="404">
        <v>-57293</v>
      </c>
      <c r="C34" s="404">
        <v>-55332</v>
      </c>
      <c r="D34" s="404">
        <f t="shared" si="1"/>
        <v>-1961</v>
      </c>
    </row>
    <row r="35" spans="1:4" ht="10.5">
      <c r="A35" s="401" t="s">
        <v>393</v>
      </c>
      <c r="B35" s="404"/>
      <c r="C35" s="404"/>
      <c r="D35" s="404">
        <f>+B35-C35</f>
        <v>0</v>
      </c>
    </row>
    <row r="36" spans="1:4" ht="10.5">
      <c r="A36" s="401" t="s">
        <v>394</v>
      </c>
      <c r="B36" s="404">
        <v>22</v>
      </c>
      <c r="C36" s="404">
        <v>40</v>
      </c>
      <c r="D36" s="404">
        <f t="shared" si="1"/>
        <v>-18</v>
      </c>
    </row>
    <row r="37" spans="1:4" ht="10.5">
      <c r="A37" s="401" t="s">
        <v>395</v>
      </c>
      <c r="B37" s="404">
        <v>496</v>
      </c>
      <c r="C37" s="404">
        <v>20</v>
      </c>
      <c r="D37" s="404">
        <f t="shared" si="1"/>
        <v>476</v>
      </c>
    </row>
    <row r="38" spans="1:4" ht="10.5">
      <c r="A38" s="401" t="s">
        <v>396</v>
      </c>
      <c r="B38" s="404"/>
      <c r="C38" s="404">
        <v>-86</v>
      </c>
      <c r="D38" s="404">
        <f>+B38-C38</f>
        <v>86</v>
      </c>
    </row>
    <row r="39" spans="1:4" ht="10.5">
      <c r="A39" s="401" t="s">
        <v>397</v>
      </c>
      <c r="B39" s="404">
        <v>71</v>
      </c>
      <c r="C39" s="404">
        <v>-6524</v>
      </c>
      <c r="D39" s="404">
        <f t="shared" si="1"/>
        <v>6595</v>
      </c>
    </row>
    <row r="40" spans="1:4" ht="10.5">
      <c r="A40" s="401" t="s">
        <v>398</v>
      </c>
      <c r="B40" s="404">
        <v>-10</v>
      </c>
      <c r="C40" s="404">
        <v>2271</v>
      </c>
      <c r="D40" s="404">
        <f>+B40-C40</f>
        <v>-2281</v>
      </c>
    </row>
    <row r="41" spans="1:4" ht="10.5">
      <c r="A41" s="401" t="s">
        <v>399</v>
      </c>
      <c r="B41" s="404">
        <v>12630</v>
      </c>
      <c r="C41" s="404"/>
      <c r="D41" s="404">
        <f t="shared" si="1"/>
        <v>12630</v>
      </c>
    </row>
    <row r="42" spans="1:4" ht="10.5">
      <c r="A42" s="401" t="s">
        <v>400</v>
      </c>
      <c r="B42" s="404">
        <v>4030</v>
      </c>
      <c r="C42" s="404"/>
      <c r="D42" s="404">
        <f>+B42-C42</f>
        <v>4030</v>
      </c>
    </row>
    <row r="43" spans="1:4" ht="10.5">
      <c r="A43" s="408" t="s">
        <v>401</v>
      </c>
      <c r="B43" s="409">
        <f>SUM(B32:B42)</f>
        <v>-84573</v>
      </c>
      <c r="C43" s="409">
        <f>SUM(C32:C42)</f>
        <v>-94111</v>
      </c>
      <c r="D43" s="409">
        <f>SUM(D32:D42)</f>
        <v>9538</v>
      </c>
    </row>
    <row r="44" spans="2:4" ht="10.5">
      <c r="B44" s="404"/>
      <c r="C44" s="404"/>
      <c r="D44" s="404"/>
    </row>
    <row r="45" spans="1:4" ht="10.5">
      <c r="A45" s="402" t="s">
        <v>402</v>
      </c>
      <c r="B45" s="404"/>
      <c r="C45" s="404"/>
      <c r="D45" s="404"/>
    </row>
    <row r="46" spans="1:4" ht="10.5">
      <c r="A46" s="401" t="s">
        <v>403</v>
      </c>
      <c r="B46" s="404"/>
      <c r="C46" s="404">
        <v>6264</v>
      </c>
      <c r="D46" s="404">
        <f aca="true" t="shared" si="2" ref="D46:D52">+B46-C46</f>
        <v>-6264</v>
      </c>
    </row>
    <row r="47" spans="1:4" ht="10.5">
      <c r="A47" s="401" t="s">
        <v>404</v>
      </c>
      <c r="B47" s="404">
        <v>-26102</v>
      </c>
      <c r="C47" s="404">
        <v>-26830</v>
      </c>
      <c r="D47" s="404">
        <f t="shared" si="2"/>
        <v>728</v>
      </c>
    </row>
    <row r="48" spans="1:4" ht="10.5">
      <c r="A48" s="401" t="s">
        <v>405</v>
      </c>
      <c r="B48" s="404">
        <f>-23322+71</f>
        <v>-23251</v>
      </c>
      <c r="C48" s="404">
        <v>-11881</v>
      </c>
      <c r="D48" s="404">
        <f t="shared" si="2"/>
        <v>-11370</v>
      </c>
    </row>
    <row r="49" spans="1:4" ht="10.5">
      <c r="A49" s="401" t="s">
        <v>406</v>
      </c>
      <c r="B49" s="404">
        <v>43456</v>
      </c>
      <c r="C49" s="404">
        <v>26145</v>
      </c>
      <c r="D49" s="404">
        <f t="shared" si="2"/>
        <v>17311</v>
      </c>
    </row>
    <row r="50" spans="1:4" ht="10.5">
      <c r="A50" s="401" t="s">
        <v>407</v>
      </c>
      <c r="B50" s="404">
        <v>-101635</v>
      </c>
      <c r="C50" s="404">
        <v>-39636</v>
      </c>
      <c r="D50" s="404">
        <f t="shared" si="2"/>
        <v>-61999</v>
      </c>
    </row>
    <row r="51" spans="1:4" ht="10.5">
      <c r="A51" s="401" t="s">
        <v>408</v>
      </c>
      <c r="B51" s="404"/>
      <c r="C51" s="404">
        <v>14</v>
      </c>
      <c r="D51" s="404">
        <f t="shared" si="2"/>
        <v>-14</v>
      </c>
    </row>
    <row r="52" spans="1:4" ht="10.5">
      <c r="A52" s="401" t="s">
        <v>409</v>
      </c>
      <c r="B52" s="404">
        <v>-695</v>
      </c>
      <c r="C52" s="404">
        <v>-943</v>
      </c>
      <c r="D52" s="404">
        <f t="shared" si="2"/>
        <v>248</v>
      </c>
    </row>
    <row r="53" spans="1:4" ht="10.5">
      <c r="A53" s="408" t="s">
        <v>410</v>
      </c>
      <c r="B53" s="409">
        <f>SUM(B46:B52)</f>
        <v>-108227</v>
      </c>
      <c r="C53" s="409">
        <f>SUM(C46:C52)</f>
        <v>-46867</v>
      </c>
      <c r="D53" s="409">
        <f>SUM(D46:D52)</f>
        <v>-61360</v>
      </c>
    </row>
    <row r="54" spans="2:4" ht="10.5">
      <c r="B54" s="404"/>
      <c r="C54" s="404"/>
      <c r="D54" s="404"/>
    </row>
    <row r="55" spans="1:4" ht="10.5">
      <c r="A55" s="398" t="s">
        <v>411</v>
      </c>
      <c r="B55" s="409">
        <f>+B53+B43+B29</f>
        <v>-69207</v>
      </c>
      <c r="C55" s="409">
        <f>+C53+C43+C29</f>
        <v>27445</v>
      </c>
      <c r="D55" s="409">
        <f>+D53+D43+D29</f>
        <v>-96652</v>
      </c>
    </row>
    <row r="56" spans="1:4" ht="10.5">
      <c r="A56" s="398"/>
      <c r="B56" s="409"/>
      <c r="C56" s="409"/>
      <c r="D56" s="409"/>
    </row>
    <row r="57" spans="1:4" ht="10.5">
      <c r="A57" s="408" t="s">
        <v>412</v>
      </c>
      <c r="B57" s="409">
        <f>+C59</f>
        <v>94862</v>
      </c>
      <c r="C57" s="409">
        <v>66639</v>
      </c>
      <c r="D57" s="409">
        <f>+B57-C57</f>
        <v>28223</v>
      </c>
    </row>
    <row r="58" spans="1:4" ht="10.5">
      <c r="A58" s="401" t="s">
        <v>413</v>
      </c>
      <c r="B58" s="404">
        <v>321</v>
      </c>
      <c r="C58" s="404">
        <v>778</v>
      </c>
      <c r="D58" s="404">
        <f>+B58-C58</f>
        <v>-457</v>
      </c>
    </row>
    <row r="59" spans="1:4" ht="10.5">
      <c r="A59" s="410" t="s">
        <v>414</v>
      </c>
      <c r="B59" s="409">
        <f>SUM(B55:B58)</f>
        <v>25976</v>
      </c>
      <c r="C59" s="409">
        <f>SUM(C55:C58)</f>
        <v>94862</v>
      </c>
      <c r="D59" s="409">
        <f>+B59-C59</f>
        <v>-68886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2009-02-19T06:47:24Z</cp:lastPrinted>
  <dcterms:created xsi:type="dcterms:W3CDTF">2000-04-06T09:46:24Z</dcterms:created>
  <dcterms:modified xsi:type="dcterms:W3CDTF">2010-07-30T14:03:20Z</dcterms:modified>
  <cp:category/>
  <cp:version/>
  <cp:contentType/>
  <cp:contentStatus/>
</cp:coreProperties>
</file>